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KatsumiSuzuki\Desktop\HP 最新データ3004\"/>
    </mc:Choice>
  </mc:AlternateContent>
  <xr:revisionPtr revIDLastSave="0" documentId="13_ncr:1_{6A63B875-0449-4405-AD99-A8AA3D5BFB34}" xr6:coauthVersionLast="31" xr6:coauthVersionMax="31" xr10:uidLastSave="{00000000-0000-0000-0000-000000000000}"/>
  <bookViews>
    <workbookView xWindow="0" yWindow="0" windowWidth="19200" windowHeight="9240" xr2:uid="{00000000-000D-0000-FFFF-FFFF00000000}"/>
  </bookViews>
  <sheets>
    <sheet name="Ｈ27.10" sheetId="1" r:id="rId1"/>
    <sheet name="Ｈ27.10 (南知多・美浜)" sheetId="3" r:id="rId2"/>
    <sheet name="Ｈ27.10 (空港島）" sheetId="4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06" i="4" l="1"/>
  <c r="X106" i="4"/>
  <c r="AN105" i="4"/>
  <c r="X105" i="4"/>
  <c r="X104" i="4"/>
  <c r="X103" i="4"/>
  <c r="AQ95" i="4"/>
  <c r="AF95" i="4"/>
  <c r="U95" i="4"/>
  <c r="AQ94" i="4"/>
  <c r="AF94" i="4"/>
  <c r="U94" i="4"/>
  <c r="AQ92" i="4"/>
  <c r="AF92" i="4"/>
  <c r="U92" i="4"/>
  <c r="AQ91" i="4"/>
  <c r="AF91" i="4"/>
  <c r="U91" i="4"/>
  <c r="AQ90" i="4"/>
  <c r="AF90" i="4"/>
  <c r="U90" i="4"/>
  <c r="AQ88" i="4"/>
  <c r="AF88" i="4"/>
  <c r="U88" i="4"/>
  <c r="BA84" i="4"/>
  <c r="Z84" i="4"/>
  <c r="BA83" i="4"/>
  <c r="Z83" i="4"/>
  <c r="BA82" i="4"/>
  <c r="Z82" i="4"/>
  <c r="BA81" i="4"/>
  <c r="Z81" i="4"/>
  <c r="BA80" i="4"/>
  <c r="Z80" i="4"/>
  <c r="BA79" i="4"/>
  <c r="Z79" i="4"/>
  <c r="BA73" i="4"/>
  <c r="AS73" i="4"/>
  <c r="AK73" i="4"/>
  <c r="AC73" i="4"/>
  <c r="U73" i="4"/>
  <c r="BA72" i="4"/>
  <c r="AS72" i="4"/>
  <c r="AK72" i="4"/>
  <c r="AC72" i="4"/>
  <c r="U72" i="4"/>
  <c r="BA71" i="4"/>
  <c r="AS71" i="4"/>
  <c r="AK71" i="4"/>
  <c r="AC71" i="4"/>
  <c r="U71" i="4"/>
  <c r="BA70" i="4"/>
  <c r="AS70" i="4"/>
  <c r="AK70" i="4"/>
  <c r="AC70" i="4"/>
  <c r="U70" i="4"/>
  <c r="BA69" i="4"/>
  <c r="AS69" i="4"/>
  <c r="AK69" i="4"/>
  <c r="AC69" i="4"/>
  <c r="U69" i="4"/>
  <c r="BA68" i="4"/>
  <c r="AS68" i="4"/>
  <c r="AK68" i="4"/>
  <c r="AC68" i="4"/>
  <c r="U68" i="4"/>
  <c r="BA67" i="4"/>
  <c r="AS67" i="4"/>
  <c r="AK67" i="4"/>
  <c r="AC67" i="4"/>
  <c r="U67" i="4"/>
  <c r="BA66" i="4"/>
  <c r="AS66" i="4"/>
  <c r="AK66" i="4"/>
  <c r="AC66" i="4"/>
  <c r="U66" i="4"/>
  <c r="BA60" i="4"/>
  <c r="AS60" i="4"/>
  <c r="AK60" i="4"/>
  <c r="AC60" i="4"/>
  <c r="U60" i="4"/>
  <c r="BA59" i="4"/>
  <c r="AS59" i="4"/>
  <c r="AK59" i="4"/>
  <c r="AC59" i="4"/>
  <c r="U59" i="4"/>
  <c r="BA58" i="4"/>
  <c r="AS58" i="4"/>
  <c r="AK58" i="4"/>
  <c r="AC58" i="4"/>
  <c r="U58" i="4"/>
  <c r="BA57" i="4"/>
  <c r="AS57" i="4"/>
  <c r="AK57" i="4"/>
  <c r="AC57" i="4"/>
  <c r="U57" i="4"/>
  <c r="BA56" i="4"/>
  <c r="AS56" i="4"/>
  <c r="AK56" i="4"/>
  <c r="AC56" i="4"/>
  <c r="U56" i="4"/>
  <c r="BA55" i="4"/>
  <c r="AS55" i="4"/>
  <c r="AK55" i="4"/>
  <c r="AC55" i="4"/>
  <c r="U55" i="4"/>
  <c r="BA54" i="4"/>
  <c r="AS54" i="4"/>
  <c r="AK54" i="4"/>
  <c r="AC54" i="4"/>
  <c r="U54" i="4"/>
  <c r="AS53" i="4"/>
  <c r="AK53" i="4"/>
  <c r="AC53" i="4"/>
  <c r="U53" i="4"/>
  <c r="AR45" i="4"/>
  <c r="AR44" i="4"/>
  <c r="AR43" i="4"/>
  <c r="AR42" i="4"/>
  <c r="AR41" i="4"/>
  <c r="AR40" i="4"/>
  <c r="Q40" i="4"/>
  <c r="AR39" i="4"/>
  <c r="Q39" i="4"/>
  <c r="AR38" i="4"/>
  <c r="Q38" i="4"/>
  <c r="Q37" i="4"/>
  <c r="AR30" i="4"/>
  <c r="Q30" i="4"/>
  <c r="AR29" i="4"/>
  <c r="Q29" i="4"/>
  <c r="AR28" i="4"/>
  <c r="Q28" i="4"/>
  <c r="AR27" i="4"/>
  <c r="Q27" i="4"/>
  <c r="AR26" i="4"/>
  <c r="Q26" i="4"/>
  <c r="AR25" i="4"/>
  <c r="Q25" i="4"/>
  <c r="AR24" i="4"/>
  <c r="Q24" i="4"/>
  <c r="AR23" i="4"/>
  <c r="Q23" i="4"/>
  <c r="AR15" i="4"/>
  <c r="Q15" i="4"/>
  <c r="AR14" i="4"/>
  <c r="Q14" i="4"/>
  <c r="AR13" i="4"/>
  <c r="Q13" i="4"/>
  <c r="AR12" i="4"/>
  <c r="Q12" i="4"/>
  <c r="AR11" i="4"/>
  <c r="Q11" i="4"/>
  <c r="AR10" i="4"/>
  <c r="Q10" i="4"/>
  <c r="AN106" i="3"/>
  <c r="AN105" i="3"/>
  <c r="X106" i="3"/>
  <c r="X105" i="3"/>
  <c r="X104" i="3"/>
  <c r="X103" i="3"/>
  <c r="AQ95" i="3"/>
  <c r="AQ94" i="3"/>
  <c r="AQ92" i="3"/>
  <c r="AQ91" i="3"/>
  <c r="AQ90" i="3"/>
  <c r="AQ88" i="3"/>
  <c r="AF95" i="3"/>
  <c r="AF94" i="3"/>
  <c r="AF92" i="3"/>
  <c r="AF91" i="3"/>
  <c r="AF90" i="3"/>
  <c r="AF88" i="3"/>
  <c r="U95" i="3"/>
  <c r="U94" i="3"/>
  <c r="U92" i="3"/>
  <c r="U91" i="3"/>
  <c r="U90" i="3"/>
  <c r="U88" i="3"/>
  <c r="BA84" i="3"/>
  <c r="BA83" i="3"/>
  <c r="BA82" i="3"/>
  <c r="BA81" i="3"/>
  <c r="BA80" i="3"/>
  <c r="BA79" i="3"/>
  <c r="Z84" i="3"/>
  <c r="Z83" i="3"/>
  <c r="Z82" i="3"/>
  <c r="Z81" i="3"/>
  <c r="Z80" i="3"/>
  <c r="Z79" i="3"/>
  <c r="BA73" i="3"/>
  <c r="BA72" i="3"/>
  <c r="BA71" i="3"/>
  <c r="BA70" i="3"/>
  <c r="BA69" i="3"/>
  <c r="BA68" i="3"/>
  <c r="BA67" i="3"/>
  <c r="BA66" i="3"/>
  <c r="AS73" i="3"/>
  <c r="AS72" i="3"/>
  <c r="AS71" i="3"/>
  <c r="AS70" i="3"/>
  <c r="AS69" i="3"/>
  <c r="AS68" i="3"/>
  <c r="AS67" i="3"/>
  <c r="AS66" i="3"/>
  <c r="AK73" i="3"/>
  <c r="AK72" i="3"/>
  <c r="AK71" i="3"/>
  <c r="AK70" i="3"/>
  <c r="AK69" i="3"/>
  <c r="AK68" i="3"/>
  <c r="AK67" i="3"/>
  <c r="AK66" i="3"/>
  <c r="AC73" i="3"/>
  <c r="AC72" i="3"/>
  <c r="AC71" i="3"/>
  <c r="AC70" i="3"/>
  <c r="AC69" i="3"/>
  <c r="AC68" i="3"/>
  <c r="AC67" i="3"/>
  <c r="AC66" i="3"/>
  <c r="U73" i="3"/>
  <c r="U72" i="3"/>
  <c r="U71" i="3"/>
  <c r="U70" i="3"/>
  <c r="U69" i="3"/>
  <c r="U68" i="3"/>
  <c r="U67" i="3"/>
  <c r="U66" i="3"/>
  <c r="BA60" i="3"/>
  <c r="BA59" i="3"/>
  <c r="BA58" i="3"/>
  <c r="BA57" i="3"/>
  <c r="BA56" i="3"/>
  <c r="BA55" i="3"/>
  <c r="BA54" i="3"/>
  <c r="AS60" i="3"/>
  <c r="AS59" i="3"/>
  <c r="AS58" i="3"/>
  <c r="AS57" i="3"/>
  <c r="AS56" i="3"/>
  <c r="AS55" i="3"/>
  <c r="AS54" i="3"/>
  <c r="AS53" i="3"/>
  <c r="AK60" i="3"/>
  <c r="AK59" i="3"/>
  <c r="AK58" i="3"/>
  <c r="AK57" i="3"/>
  <c r="AK56" i="3"/>
  <c r="AK55" i="3"/>
  <c r="AK54" i="3"/>
  <c r="AK53" i="3"/>
  <c r="AC60" i="3"/>
  <c r="AC59" i="3"/>
  <c r="AC58" i="3"/>
  <c r="AC57" i="3"/>
  <c r="AC56" i="3"/>
  <c r="AC55" i="3"/>
  <c r="AC54" i="3"/>
  <c r="AC53" i="3"/>
  <c r="U60" i="3"/>
  <c r="U59" i="3"/>
  <c r="U58" i="3"/>
  <c r="U57" i="3"/>
  <c r="U56" i="3"/>
  <c r="U55" i="3"/>
  <c r="U54" i="3"/>
  <c r="U53" i="3"/>
  <c r="AR45" i="3"/>
  <c r="AR44" i="3"/>
  <c r="AR43" i="3"/>
  <c r="AR42" i="3"/>
  <c r="AR41" i="3"/>
  <c r="AR40" i="3"/>
  <c r="AR39" i="3"/>
  <c r="AR38" i="3"/>
  <c r="Q40" i="3"/>
  <c r="Q39" i="3"/>
  <c r="Q38" i="3"/>
  <c r="Q37" i="3"/>
  <c r="AR30" i="3"/>
  <c r="AR29" i="3"/>
  <c r="AR28" i="3"/>
  <c r="AR27" i="3"/>
  <c r="AR26" i="3"/>
  <c r="AR25" i="3"/>
  <c r="AR24" i="3"/>
  <c r="AR23" i="3"/>
  <c r="Q30" i="3"/>
  <c r="Q29" i="3"/>
  <c r="Q28" i="3"/>
  <c r="Q27" i="3"/>
  <c r="Q26" i="3"/>
  <c r="Q25" i="3"/>
  <c r="Q24" i="3"/>
  <c r="Q23" i="3"/>
  <c r="AR15" i="3"/>
  <c r="AR14" i="3"/>
  <c r="AR13" i="3"/>
  <c r="AR12" i="3"/>
  <c r="AR11" i="3"/>
  <c r="AR10" i="3"/>
  <c r="Q15" i="3"/>
  <c r="Q14" i="3"/>
  <c r="Q13" i="3"/>
  <c r="Q12" i="3"/>
  <c r="Q11" i="3"/>
  <c r="Q10" i="3"/>
  <c r="AQ95" i="1"/>
  <c r="AF95" i="1"/>
  <c r="U95" i="1"/>
  <c r="AQ94" i="1"/>
  <c r="AF94" i="1"/>
  <c r="U94" i="1"/>
  <c r="AQ92" i="1"/>
  <c r="AF92" i="1"/>
  <c r="U92" i="1"/>
  <c r="AQ91" i="1"/>
  <c r="AF91" i="1"/>
  <c r="U91" i="1"/>
  <c r="AF90" i="1"/>
  <c r="AQ88" i="1"/>
  <c r="AF88" i="1"/>
  <c r="U90" i="1"/>
  <c r="U88" i="1"/>
  <c r="BA84" i="1"/>
  <c r="BA83" i="1"/>
  <c r="BA82" i="1"/>
  <c r="BA81" i="1"/>
  <c r="Z84" i="1"/>
  <c r="Z83" i="1"/>
  <c r="Z82" i="1"/>
  <c r="Z81" i="1"/>
  <c r="Z79" i="1"/>
  <c r="BA80" i="1"/>
  <c r="Z80" i="1"/>
  <c r="BA79" i="1"/>
  <c r="BA73" i="1" l="1"/>
  <c r="BA72" i="1"/>
  <c r="BA71" i="1"/>
  <c r="BA70" i="1"/>
  <c r="BA69" i="1"/>
  <c r="BA68" i="1"/>
  <c r="BA67" i="1"/>
  <c r="BA66" i="1"/>
  <c r="AS73" i="1"/>
  <c r="AS72" i="1"/>
  <c r="AS71" i="1"/>
  <c r="AS70" i="1"/>
  <c r="AS69" i="1"/>
  <c r="AS68" i="1"/>
  <c r="AS67" i="1"/>
  <c r="AS66" i="1"/>
  <c r="AK73" i="1"/>
  <c r="AK72" i="1"/>
  <c r="AK71" i="1"/>
  <c r="AK70" i="1"/>
  <c r="AK69" i="1"/>
  <c r="AK68" i="1"/>
  <c r="AK67" i="1"/>
  <c r="AK66" i="1"/>
  <c r="AC73" i="1"/>
  <c r="AC72" i="1"/>
  <c r="AC71" i="1"/>
  <c r="AC70" i="1"/>
  <c r="AC69" i="1"/>
  <c r="AC68" i="1"/>
  <c r="AC67" i="1"/>
  <c r="AC66" i="1"/>
  <c r="U73" i="1"/>
  <c r="U72" i="1"/>
  <c r="U71" i="1"/>
  <c r="U70" i="1"/>
  <c r="U69" i="1"/>
  <c r="U68" i="1"/>
  <c r="U67" i="1"/>
  <c r="U66" i="1"/>
  <c r="BA60" i="1"/>
  <c r="BA59" i="1"/>
  <c r="BA58" i="1"/>
  <c r="BA57" i="1"/>
  <c r="BA56" i="1"/>
  <c r="BA55" i="1"/>
  <c r="BA54" i="1"/>
  <c r="AS60" i="1"/>
  <c r="AS59" i="1"/>
  <c r="AS58" i="1"/>
  <c r="AS57" i="1"/>
  <c r="AS56" i="1"/>
  <c r="AS55" i="1"/>
  <c r="AS54" i="1"/>
  <c r="AS53" i="1"/>
  <c r="AK60" i="1"/>
  <c r="AK59" i="1"/>
  <c r="AK58" i="1"/>
  <c r="AK57" i="1"/>
  <c r="AK56" i="1"/>
  <c r="AK55" i="1"/>
  <c r="AK54" i="1"/>
  <c r="AK53" i="1"/>
  <c r="AC60" i="1"/>
  <c r="AC59" i="1"/>
  <c r="AC58" i="1"/>
  <c r="AC57" i="1"/>
  <c r="AC56" i="1"/>
  <c r="AC55" i="1"/>
  <c r="AC54" i="1"/>
  <c r="AC53" i="1"/>
  <c r="U60" i="1"/>
  <c r="U59" i="1"/>
  <c r="U58" i="1"/>
  <c r="U57" i="1"/>
  <c r="U56" i="1"/>
  <c r="U55" i="1"/>
  <c r="U54" i="1"/>
  <c r="U53" i="1"/>
  <c r="AR45" i="1" l="1"/>
  <c r="AR44" i="1"/>
  <c r="AR43" i="1"/>
  <c r="AR42" i="1"/>
  <c r="AR41" i="1"/>
  <c r="AR40" i="1"/>
  <c r="AR39" i="1"/>
  <c r="AR38" i="1"/>
  <c r="Q39" i="1"/>
  <c r="Q38" i="1"/>
  <c r="Q37" i="1"/>
  <c r="AR30" i="1"/>
  <c r="AR29" i="1"/>
  <c r="AR25" i="1"/>
  <c r="AR23" i="1"/>
  <c r="Q30" i="1"/>
  <c r="Q28" i="1"/>
  <c r="Q27" i="1"/>
  <c r="Q26" i="1"/>
  <c r="Q25" i="1"/>
  <c r="AR15" i="1"/>
  <c r="Q15" i="1"/>
  <c r="Q10" i="1" l="1"/>
  <c r="AR10" i="1"/>
  <c r="Q11" i="1"/>
  <c r="AR11" i="1"/>
  <c r="Q12" i="1"/>
  <c r="AR12" i="1"/>
  <c r="Q13" i="1"/>
  <c r="AR13" i="1"/>
  <c r="Q14" i="1"/>
  <c r="AR14" i="1"/>
  <c r="Q23" i="1"/>
  <c r="Q24" i="1"/>
  <c r="AR24" i="1"/>
  <c r="AR26" i="1"/>
  <c r="AR27" i="1"/>
  <c r="AR28" i="1"/>
  <c r="Q29" i="1"/>
  <c r="AQ90" i="1"/>
  <c r="X103" i="1"/>
  <c r="X104" i="1"/>
  <c r="X105" i="1"/>
  <c r="AN105" i="1"/>
  <c r="X106" i="1"/>
  <c r="AN106" i="1"/>
</calcChain>
</file>

<file path=xl/sharedStrings.xml><?xml version="1.0" encoding="utf-8"?>
<sst xmlns="http://schemas.openxmlformats.org/spreadsheetml/2006/main" count="419" uniqueCount="91">
  <si>
    <t>1．　標準価格</t>
    <rPh sb="3" eb="5">
      <t>ヒョウジュン</t>
    </rPh>
    <rPh sb="5" eb="7">
      <t>カカク</t>
    </rPh>
    <phoneticPr fontId="4"/>
  </si>
  <si>
    <t>水セメント比の　　　上 限 値</t>
    <rPh sb="0" eb="1">
      <t>ミズ</t>
    </rPh>
    <rPh sb="5" eb="6">
      <t>ヒ</t>
    </rPh>
    <rPh sb="10" eb="11">
      <t>ウエ</t>
    </rPh>
    <rPh sb="12" eb="13">
      <t>キリ</t>
    </rPh>
    <rPh sb="14" eb="15">
      <t>アタイ</t>
    </rPh>
    <phoneticPr fontId="4"/>
  </si>
  <si>
    <t>普通セメント・高炉セメント</t>
    <rPh sb="0" eb="2">
      <t>フツウ</t>
    </rPh>
    <rPh sb="7" eb="9">
      <t>コウロ</t>
    </rPh>
    <phoneticPr fontId="4"/>
  </si>
  <si>
    <t>呼び強度</t>
    <rPh sb="0" eb="1">
      <t>ヨ</t>
    </rPh>
    <rPh sb="2" eb="4">
      <t>キョウド</t>
    </rPh>
    <phoneticPr fontId="4"/>
  </si>
  <si>
    <t>1．　標準価格</t>
    <phoneticPr fontId="2"/>
  </si>
  <si>
    <t>材齢２８日　　　粗骨材　　２０、２５、４０(mm)</t>
    <phoneticPr fontId="2"/>
  </si>
  <si>
    <t>スランプ</t>
  </si>
  <si>
    <t>呼び強度</t>
    <phoneticPr fontId="2"/>
  </si>
  <si>
    <t>普通セメント・高炉Ｂ種セメント</t>
    <phoneticPr fontId="2"/>
  </si>
  <si>
    <t>５ ～ ２１cm</t>
    <phoneticPr fontId="2"/>
  </si>
  <si>
    <t>18ベース＠</t>
    <phoneticPr fontId="2"/>
  </si>
  <si>
    <t>円</t>
    <rPh sb="0" eb="1">
      <t>エン</t>
    </rPh>
    <phoneticPr fontId="2"/>
  </si>
  <si>
    <t>早 強 セ メ ン ト</t>
    <phoneticPr fontId="2"/>
  </si>
  <si>
    <t>材齢 ７日　　　粗骨材　　２０、２５、４０(mm)</t>
    <phoneticPr fontId="2"/>
  </si>
  <si>
    <t>②普通コンクリート（スランプ8～21cm高性能ＡＥ減水剤）</t>
    <phoneticPr fontId="2"/>
  </si>
  <si>
    <t>AE減水剤</t>
    <phoneticPr fontId="2"/>
  </si>
  <si>
    <t>高性能AE減水剤</t>
    <phoneticPr fontId="2"/>
  </si>
  <si>
    <t>曲げ ４．５N/mm2</t>
    <phoneticPr fontId="2"/>
  </si>
  <si>
    <t>スランプ６．５cm</t>
    <phoneticPr fontId="2"/>
  </si>
  <si>
    <t>曲げ ５．０N/mm2</t>
    <phoneticPr fontId="2"/>
  </si>
  <si>
    <t>普 通 セ メ ン ト  ・  高 炉 B種セ メ ン ト</t>
    <phoneticPr fontId="2"/>
  </si>
  <si>
    <t>材齢２８日　　　２０、２５　（mm)</t>
    <phoneticPr fontId="2"/>
  </si>
  <si>
    <t>スランプ</t>
    <phoneticPr fontId="2"/>
  </si>
  <si>
    <t>フロー</t>
    <phoneticPr fontId="2"/>
  </si>
  <si>
    <t>１５～２１ cm</t>
    <phoneticPr fontId="2"/>
  </si>
  <si>
    <t>５０ cm</t>
    <phoneticPr fontId="2"/>
  </si>
  <si>
    <t>５５ cm</t>
    <phoneticPr fontId="2"/>
  </si>
  <si>
    <t>６０ cm</t>
    <phoneticPr fontId="2"/>
  </si>
  <si>
    <t>６５ cm</t>
    <phoneticPr fontId="2"/>
  </si>
  <si>
    <t>スランプ・フロー</t>
    <phoneticPr fontId="4"/>
  </si>
  <si>
    <t>設計基準強度</t>
    <phoneticPr fontId="2"/>
  </si>
  <si>
    <t>中庸熱セ メ ン ト</t>
    <phoneticPr fontId="2"/>
  </si>
  <si>
    <t>１：１　　　（Ｃ=950）</t>
    <phoneticPr fontId="2"/>
  </si>
  <si>
    <t>１：１．５  （Ｃ=800）</t>
    <phoneticPr fontId="2"/>
  </si>
  <si>
    <t>１：２　　　（Ｃ=650）</t>
    <phoneticPr fontId="2"/>
  </si>
  <si>
    <t>1：２．５　 （Ｃ=550）</t>
    <phoneticPr fontId="2"/>
  </si>
  <si>
    <t>１：３　　　（Ｃ=450）</t>
    <phoneticPr fontId="2"/>
  </si>
  <si>
    <t>１：３．５　（Ｃ=400）</t>
    <phoneticPr fontId="2"/>
  </si>
  <si>
    <t>１：４　　　（Ｃ=350）</t>
    <phoneticPr fontId="2"/>
  </si>
  <si>
    <t>１：５　　　（Ｃ=300）</t>
    <phoneticPr fontId="2"/>
  </si>
  <si>
    <t>１：６　　　（Ｃ=250）</t>
    <phoneticPr fontId="2"/>
  </si>
  <si>
    <t>早強セメント</t>
    <phoneticPr fontId="2"/>
  </si>
  <si>
    <t>中庸熱セメント</t>
    <phoneticPr fontId="2"/>
  </si>
  <si>
    <t>※ 高炉B種セメント使用のコンクリート及びモルタルは普通セメントと同額です。</t>
    <phoneticPr fontId="2"/>
  </si>
  <si>
    <t>※ 特殊セメント使用のコンクリートはその都度積算させて頂きます。</t>
    <phoneticPr fontId="2"/>
  </si>
  <si>
    <t>⑬ 水セメント比指定の場合</t>
    <phoneticPr fontId="2"/>
  </si>
  <si>
    <t>-</t>
    <phoneticPr fontId="2"/>
  </si>
  <si>
    <t>-</t>
    <phoneticPr fontId="2"/>
  </si>
  <si>
    <t>※ スランプ２．５cm及び転圧コンクリートは工場渡しの価格です。</t>
    <phoneticPr fontId="2"/>
  </si>
  <si>
    <t>※スランプ２．５cm</t>
    <phoneticPr fontId="2"/>
  </si>
  <si>
    <t>※転圧ｺﾝｸﾘｰﾄ</t>
    <rPh sb="1" eb="3">
      <t>テンアツ</t>
    </rPh>
    <phoneticPr fontId="2"/>
  </si>
  <si>
    <t>８ ～ ２１cm</t>
    <phoneticPr fontId="2"/>
  </si>
  <si>
    <t>③普通コンクリート（スランプ5～21cm中庸熱セメント）</t>
    <phoneticPr fontId="2"/>
  </si>
  <si>
    <t>①普通コンクリート（スランプ5～21cmＡＥ減水剤）</t>
    <phoneticPr fontId="2"/>
  </si>
  <si>
    <t>-</t>
    <phoneticPr fontId="2"/>
  </si>
  <si>
    <t>材齢２８日　　　２０、２５　（mm)</t>
    <phoneticPr fontId="2"/>
  </si>
  <si>
    <t>⑦大臣認定コンクリート(スランプ15～21cm及びフロー50～65cm高性能ＡＥ減水剤）　建築用</t>
    <phoneticPr fontId="2"/>
  </si>
  <si>
    <t>スランプ・フロー</t>
    <phoneticPr fontId="4"/>
  </si>
  <si>
    <t>設計基準強度</t>
    <phoneticPr fontId="2"/>
  </si>
  <si>
    <t>普通・高炉B種セメント</t>
    <phoneticPr fontId="2"/>
  </si>
  <si>
    <t>⑨ モルタル</t>
    <phoneticPr fontId="2"/>
  </si>
  <si>
    <t>スランプ　　　　　　5～21cm　　　　AE減水剤</t>
    <rPh sb="22" eb="24">
      <t>ゲンスイ</t>
    </rPh>
    <rPh sb="24" eb="25">
      <t>ザイ</t>
    </rPh>
    <phoneticPr fontId="4"/>
  </si>
  <si>
    <r>
      <t>スランプ　　　　　　8～21cm　　　　　</t>
    </r>
    <r>
      <rPr>
        <sz val="9"/>
        <rFont val="ＭＳ Ｐゴシック"/>
        <family val="3"/>
        <charset val="128"/>
      </rPr>
      <t>高性能AE減水剤</t>
    </r>
    <rPh sb="21" eb="24">
      <t>コウセイノウ</t>
    </rPh>
    <rPh sb="26" eb="28">
      <t>ゲンスイ</t>
    </rPh>
    <rPh sb="28" eb="29">
      <t>ザイ</t>
    </rPh>
    <phoneticPr fontId="4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</si>
  <si>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</si>
  <si>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</si>
  <si>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</si>
  <si>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</si>
  <si>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</si>
  <si>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</si>
  <si>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普通セメント・高炉Ｂ種セメント</t>
    <phoneticPr fontId="2"/>
  </si>
  <si>
    <t>早 強 セ メ ン ト</t>
    <phoneticPr fontId="2"/>
  </si>
  <si>
    <t>材齢２８日　　　粗骨材　　２０、２５、４０(mm)</t>
    <phoneticPr fontId="2"/>
  </si>
  <si>
    <t>材齢 ７日　　　粗骨材　　２０、２５、４０(mm)</t>
    <phoneticPr fontId="2"/>
  </si>
  <si>
    <t>曲げ ４．５N/mm2</t>
    <phoneticPr fontId="2"/>
  </si>
  <si>
    <t>スランプ６．５cm</t>
    <phoneticPr fontId="2"/>
  </si>
  <si>
    <t>曲げ ４．５N/mm2</t>
    <phoneticPr fontId="2"/>
  </si>
  <si>
    <t>スランプ６．５cm</t>
    <phoneticPr fontId="2"/>
  </si>
  <si>
    <t>※スランプ２．５cm</t>
    <phoneticPr fontId="2"/>
  </si>
  <si>
    <t>曲げ ４．５N/mm2</t>
    <phoneticPr fontId="2"/>
  </si>
  <si>
    <t>曲げ ５．０N/mm2</t>
    <phoneticPr fontId="2"/>
  </si>
  <si>
    <t>※スランプ２．５cm</t>
    <phoneticPr fontId="2"/>
  </si>
  <si>
    <t>曲げ ５．０N/mm2</t>
    <phoneticPr fontId="2"/>
  </si>
  <si>
    <t>※スランプ２．５cm</t>
    <phoneticPr fontId="2"/>
  </si>
  <si>
    <t>曲げ ５．０N/mm2</t>
    <phoneticPr fontId="2"/>
  </si>
  <si>
    <t>舗装コンクリート（ＡＥ減水剤）</t>
    <phoneticPr fontId="2"/>
  </si>
  <si>
    <t>-</t>
    <phoneticPr fontId="2"/>
  </si>
  <si>
    <t>-</t>
    <phoneticPr fontId="2"/>
  </si>
  <si>
    <t>-</t>
    <phoneticPr fontId="2"/>
  </si>
  <si>
    <t>南知多・美浜地区　+</t>
    <rPh sb="0" eb="3">
      <t>ミナミチタ</t>
    </rPh>
    <rPh sb="4" eb="6">
      <t>ミハマ</t>
    </rPh>
    <rPh sb="6" eb="8">
      <t>チク</t>
    </rPh>
    <phoneticPr fontId="2"/>
  </si>
  <si>
    <t>空港島　+</t>
    <rPh sb="0" eb="2">
      <t>クウコウ</t>
    </rPh>
    <rPh sb="2" eb="3">
      <t>トウ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</si>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</sst>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0" fillId="2" borderId="0" xfId="0" applyFill="1" applyAlignment="1"/>
    <xf numFmtId="0" fontId="3" fillId="2" borderId="0" xfId="0" applyFont="1" applyFill="1" applyAlignment="1"/>
    <xf numFmtId="0" fontId="0" fillId="2" borderId="0" xfId="0" applyFill="1" applyBorder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quotePrefix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31" xfId="0" applyFon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 wrapText="1" shrinkToFit="1"/>
    </xf>
    <xf numFmtId="0" fontId="0" fillId="2" borderId="32" xfId="0" applyFill="1" applyBorder="1" applyAlignment="1">
      <alignment horizontal="left" vertical="center" wrapText="1" shrinkToFit="1"/>
    </xf>
    <xf numFmtId="0" fontId="0" fillId="2" borderId="8" xfId="0" applyNumberFormat="1" applyFill="1" applyBorder="1" applyAlignment="1">
      <alignment horizontal="center" vertical="center"/>
    </xf>
    <xf numFmtId="0" fontId="0" fillId="2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2" borderId="31" xfId="0" applyFont="1" applyFill="1" applyBorder="1" applyAlignment="1">
      <alignment horizontal="right" vertical="center" wrapText="1" shrinkToFit="1"/>
    </xf>
    <xf numFmtId="0" fontId="0" fillId="2" borderId="31" xfId="0" applyFill="1" applyBorder="1" applyAlignment="1">
      <alignment horizontal="right" vertical="center" wrapText="1" shrinkToFit="1"/>
    </xf>
    <xf numFmtId="0" fontId="0" fillId="0" borderId="10" xfId="0" applyBorder="1" applyAlignment="1">
      <alignment horizontal="center" vertical="center"/>
    </xf>
    <xf numFmtId="0" fontId="0" fillId="2" borderId="43" xfId="0" applyNumberFormat="1" applyFill="1" applyBorder="1" applyAlignment="1">
      <alignment horizontal="center" vertical="center"/>
    </xf>
    <xf numFmtId="0" fontId="0" fillId="2" borderId="38" xfId="0" applyNumberFormat="1" applyFill="1" applyBorder="1" applyAlignment="1">
      <alignment horizontal="center" vertical="center"/>
    </xf>
    <xf numFmtId="0" fontId="0" fillId="2" borderId="11" xfId="0" applyNumberForma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 wrapText="1" shrinkToFit="1"/>
    </xf>
    <xf numFmtId="0" fontId="0" fillId="2" borderId="40" xfId="0" applyFill="1" applyBorder="1" applyAlignment="1">
      <alignment horizontal="center" vertical="center" wrapText="1" shrinkToFit="1"/>
    </xf>
    <xf numFmtId="0" fontId="0" fillId="2" borderId="13" xfId="0" applyFill="1" applyBorder="1" applyAlignment="1">
      <alignment horizontal="center" vertical="center" wrapText="1" shrinkToFit="1"/>
    </xf>
    <xf numFmtId="0" fontId="0" fillId="2" borderId="44" xfId="0" applyNumberFormat="1" applyFill="1" applyBorder="1" applyAlignment="1">
      <alignment horizontal="center" vertical="center"/>
    </xf>
    <xf numFmtId="0" fontId="0" fillId="2" borderId="40" xfId="0" applyNumberForma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 wrapText="1" shrinkToFit="1"/>
    </xf>
    <xf numFmtId="0" fontId="0" fillId="2" borderId="38" xfId="0" applyFill="1" applyBorder="1" applyAlignment="1">
      <alignment horizontal="center" vertical="center" wrapText="1" shrinkToFit="1"/>
    </xf>
    <xf numFmtId="0" fontId="0" fillId="2" borderId="11" xfId="0" applyFill="1" applyBorder="1" applyAlignment="1">
      <alignment horizontal="center" vertical="center" wrapText="1" shrinkToFit="1"/>
    </xf>
    <xf numFmtId="0" fontId="0" fillId="2" borderId="13" xfId="0" applyNumberForma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 wrapText="1" shrinkToFit="1"/>
    </xf>
    <xf numFmtId="0" fontId="0" fillId="2" borderId="42" xfId="0" applyFill="1" applyBorder="1" applyAlignment="1">
      <alignment horizontal="center" vertical="center" wrapText="1" shrinkToFit="1"/>
    </xf>
    <xf numFmtId="0" fontId="0" fillId="2" borderId="12" xfId="0" applyFill="1" applyBorder="1" applyAlignment="1">
      <alignment horizontal="center" vertical="center" wrapText="1" shrinkToFit="1"/>
    </xf>
    <xf numFmtId="0" fontId="0" fillId="2" borderId="45" xfId="0" applyNumberFormat="1" applyFill="1" applyBorder="1" applyAlignment="1">
      <alignment horizontal="center" vertical="center"/>
    </xf>
    <xf numFmtId="0" fontId="0" fillId="2" borderId="42" xfId="0" applyNumberFormat="1" applyFill="1" applyBorder="1" applyAlignment="1">
      <alignment horizontal="center" vertical="center"/>
    </xf>
    <xf numFmtId="0" fontId="0" fillId="2" borderId="12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 wrapText="1" shrinkToFit="1"/>
    </xf>
    <xf numFmtId="0" fontId="0" fillId="2" borderId="4" xfId="0" applyFill="1" applyBorder="1" applyAlignment="1">
      <alignment horizontal="right" vertical="center" wrapText="1" shrinkToFit="1"/>
    </xf>
    <xf numFmtId="0" fontId="0" fillId="2" borderId="34" xfId="0" applyFill="1" applyBorder="1" applyAlignment="1">
      <alignment horizontal="center" vertical="center" wrapText="1" shrinkToFit="1"/>
    </xf>
    <xf numFmtId="0" fontId="0" fillId="2" borderId="39" xfId="0" applyNumberForma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 wrapText="1" shrinkToFit="1"/>
    </xf>
    <xf numFmtId="0" fontId="0" fillId="2" borderId="37" xfId="0" applyNumberForma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 wrapText="1" shrinkToFit="1"/>
    </xf>
    <xf numFmtId="0" fontId="0" fillId="2" borderId="41" xfId="0" applyNumberFormat="1" applyFill="1" applyBorder="1" applyAlignment="1">
      <alignment horizontal="center" vertical="center"/>
    </xf>
    <xf numFmtId="0" fontId="0" fillId="2" borderId="4" xfId="0" quotePrefix="1" applyFill="1" applyBorder="1" applyAlignment="1">
      <alignment horizontal="center" vertical="center" wrapText="1" shrinkToFit="1"/>
    </xf>
    <xf numFmtId="0" fontId="0" fillId="2" borderId="34" xfId="0" quotePrefix="1" applyFill="1" applyBorder="1" applyAlignment="1">
      <alignment horizontal="center" vertical="center" wrapText="1" shrinkToFit="1"/>
    </xf>
    <xf numFmtId="0" fontId="0" fillId="2" borderId="35" xfId="0" quotePrefix="1" applyFill="1" applyBorder="1" applyAlignment="1">
      <alignment horizontal="center" vertical="center" wrapText="1" shrinkToFit="1"/>
    </xf>
    <xf numFmtId="0" fontId="0" fillId="2" borderId="33" xfId="0" quotePrefix="1" applyFill="1" applyBorder="1" applyAlignment="1">
      <alignment horizontal="center" vertical="center" wrapText="1" shrinkToFit="1"/>
    </xf>
    <xf numFmtId="0" fontId="0" fillId="2" borderId="10" xfId="0" applyNumberFormat="1" applyFill="1" applyBorder="1" applyAlignment="1">
      <alignment horizontal="center" vertical="center"/>
    </xf>
    <xf numFmtId="0" fontId="0" fillId="2" borderId="8" xfId="0" applyNumberFormat="1" applyFill="1" applyBorder="1" applyAlignment="1">
      <alignment horizontal="center" vertical="center" shrinkToFit="1"/>
    </xf>
    <xf numFmtId="0" fontId="0" fillId="2" borderId="9" xfId="0" applyNumberForma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38" fontId="8" fillId="2" borderId="9" xfId="1" applyFont="1" applyFill="1" applyBorder="1" applyAlignment="1">
      <alignment horizontal="center" vertical="center" wrapText="1"/>
    </xf>
    <xf numFmtId="38" fontId="8" fillId="2" borderId="36" xfId="1" applyFont="1" applyFill="1" applyBorder="1" applyAlignment="1">
      <alignment horizontal="center" vertical="center" wrapText="1"/>
    </xf>
    <xf numFmtId="38" fontId="8" fillId="2" borderId="10" xfId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38" fontId="8" fillId="2" borderId="38" xfId="1" applyFont="1" applyFill="1" applyBorder="1" applyAlignment="1">
      <alignment horizontal="center" vertical="center"/>
    </xf>
    <xf numFmtId="38" fontId="8" fillId="2" borderId="46" xfId="1" applyFont="1" applyFill="1" applyBorder="1" applyAlignment="1">
      <alignment horizontal="center" vertical="center"/>
    </xf>
    <xf numFmtId="38" fontId="8" fillId="2" borderId="11" xfId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38" fontId="8" fillId="2" borderId="40" xfId="1" applyFont="1" applyFill="1" applyBorder="1" applyAlignment="1">
      <alignment horizontal="center" vertical="center"/>
    </xf>
    <xf numFmtId="38" fontId="8" fillId="2" borderId="47" xfId="1" applyFont="1" applyFill="1" applyBorder="1" applyAlignment="1">
      <alignment horizontal="center" vertical="center"/>
    </xf>
    <xf numFmtId="38" fontId="8" fillId="2" borderId="13" xfId="1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38" fontId="8" fillId="2" borderId="42" xfId="1" applyFont="1" applyFill="1" applyBorder="1" applyAlignment="1">
      <alignment horizontal="center" vertical="center"/>
    </xf>
    <xf numFmtId="38" fontId="8" fillId="2" borderId="48" xfId="1" applyFont="1" applyFill="1" applyBorder="1" applyAlignment="1">
      <alignment horizontal="center" vertical="center"/>
    </xf>
    <xf numFmtId="38" fontId="8" fillId="2" borderId="12" xfId="1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0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58</xdr:row>
      <xdr:rowOff>0</xdr:rowOff>
    </xdr:from>
    <xdr:to>
      <xdr:col>5</xdr:col>
      <xdr:colOff>47625</xdr:colOff>
      <xdr:row>60</xdr:row>
      <xdr:rowOff>9525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638300" y="20459700"/>
          <a:ext cx="361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59</xdr:row>
      <xdr:rowOff>133350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19125" y="20459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19" name="Text Box 6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590550" y="742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23" name="Text Box 70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590550" y="742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31" name="Text Box 6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590550" y="44100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34" name="Text Box 70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590550" y="44100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37" name="Text Box 6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4057650" y="742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38" name="Text Box 70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4057650" y="742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5</xdr:col>
      <xdr:colOff>47625</xdr:colOff>
      <xdr:row>48</xdr:row>
      <xdr:rowOff>9525</xdr:rowOff>
    </xdr:to>
    <xdr:sp macro="" textlink="">
      <xdr:nvSpPr>
        <xdr:cNvPr id="39" name="Text Box 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638300" y="12687300"/>
          <a:ext cx="361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133350</xdr:rowOff>
    </xdr:to>
    <xdr:sp macro="" textlink="">
      <xdr:nvSpPr>
        <xdr:cNvPr id="40" name="Text Box 8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19125" y="12687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55</xdr:row>
      <xdr:rowOff>142875</xdr:rowOff>
    </xdr:from>
    <xdr:ext cx="514350" cy="323850"/>
    <xdr:sp macro="" textlink="">
      <xdr:nvSpPr>
        <xdr:cNvPr id="41" name="Text Box 1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572250" y="19926300"/>
          <a:ext cx="5143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u="none" strike="noStrike" baseline="3000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2</xdr:col>
      <xdr:colOff>0</xdr:colOff>
      <xdr:row>46</xdr:row>
      <xdr:rowOff>0</xdr:rowOff>
    </xdr:from>
    <xdr:to>
      <xdr:col>5</xdr:col>
      <xdr:colOff>47625</xdr:colOff>
      <xdr:row>47</xdr:row>
      <xdr:rowOff>104775</xdr:rowOff>
    </xdr:to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638300" y="16125825"/>
          <a:ext cx="361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5</xdr:col>
      <xdr:colOff>47625</xdr:colOff>
      <xdr:row>73</xdr:row>
      <xdr:rowOff>104775</xdr:rowOff>
    </xdr:to>
    <xdr:sp macro="" textlink="">
      <xdr:nvSpPr>
        <xdr:cNvPr id="48" name="Text Box 6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638300" y="23964900"/>
          <a:ext cx="361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58</xdr:row>
      <xdr:rowOff>0</xdr:rowOff>
    </xdr:from>
    <xdr:to>
      <xdr:col>71</xdr:col>
      <xdr:colOff>47625</xdr:colOff>
      <xdr:row>60</xdr:row>
      <xdr:rowOff>9525</xdr:rowOff>
    </xdr:to>
    <xdr:sp macro="" textlink="">
      <xdr:nvSpPr>
        <xdr:cNvPr id="27" name="Text Box 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09550" y="22345650"/>
          <a:ext cx="3619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58</xdr:row>
      <xdr:rowOff>0</xdr:rowOff>
    </xdr:from>
    <xdr:to>
      <xdr:col>68</xdr:col>
      <xdr:colOff>76200</xdr:colOff>
      <xdr:row>59</xdr:row>
      <xdr:rowOff>133350</xdr:rowOff>
    </xdr:to>
    <xdr:sp macro="" textlink="">
      <xdr:nvSpPr>
        <xdr:cNvPr id="28" name="Text Box 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09550" y="223456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97</xdr:row>
      <xdr:rowOff>0</xdr:rowOff>
    </xdr:from>
    <xdr:to>
      <xdr:col>72</xdr:col>
      <xdr:colOff>95250</xdr:colOff>
      <xdr:row>98</xdr:row>
      <xdr:rowOff>152400</xdr:rowOff>
    </xdr:to>
    <xdr:sp macro="" textlink="">
      <xdr:nvSpPr>
        <xdr:cNvPr id="29" name="Text Box 15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09550" y="29060775"/>
          <a:ext cx="5143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u="none" strike="noStrike" baseline="3000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68</xdr:col>
      <xdr:colOff>0</xdr:colOff>
      <xdr:row>39</xdr:row>
      <xdr:rowOff>0</xdr:rowOff>
    </xdr:from>
    <xdr:to>
      <xdr:col>68</xdr:col>
      <xdr:colOff>76200</xdr:colOff>
      <xdr:row>40</xdr:row>
      <xdr:rowOff>47625</xdr:rowOff>
    </xdr:to>
    <xdr:sp macro="" textlink="">
      <xdr:nvSpPr>
        <xdr:cNvPr id="30" name="Text Box 6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09550" y="854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39</xdr:row>
      <xdr:rowOff>0</xdr:rowOff>
    </xdr:from>
    <xdr:to>
      <xdr:col>68</xdr:col>
      <xdr:colOff>76200</xdr:colOff>
      <xdr:row>40</xdr:row>
      <xdr:rowOff>47625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09550" y="854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24</xdr:row>
      <xdr:rowOff>0</xdr:rowOff>
    </xdr:from>
    <xdr:to>
      <xdr:col>68</xdr:col>
      <xdr:colOff>76200</xdr:colOff>
      <xdr:row>25</xdr:row>
      <xdr:rowOff>47625</xdr:rowOff>
    </xdr:to>
    <xdr:sp macro="" textlink="">
      <xdr:nvSpPr>
        <xdr:cNvPr id="33" name="Text Box 6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09550" y="5257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24</xdr:row>
      <xdr:rowOff>0</xdr:rowOff>
    </xdr:from>
    <xdr:to>
      <xdr:col>68</xdr:col>
      <xdr:colOff>76200</xdr:colOff>
      <xdr:row>25</xdr:row>
      <xdr:rowOff>47625</xdr:rowOff>
    </xdr:to>
    <xdr:sp macro="" textlink="">
      <xdr:nvSpPr>
        <xdr:cNvPr id="35" name="Text Box 70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09550" y="5257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39</xdr:row>
      <xdr:rowOff>0</xdr:rowOff>
    </xdr:from>
    <xdr:to>
      <xdr:col>68</xdr:col>
      <xdr:colOff>76200</xdr:colOff>
      <xdr:row>40</xdr:row>
      <xdr:rowOff>47625</xdr:rowOff>
    </xdr:to>
    <xdr:sp macro="" textlink="">
      <xdr:nvSpPr>
        <xdr:cNvPr id="36" name="Text Box 6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09550" y="854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39</xdr:row>
      <xdr:rowOff>0</xdr:rowOff>
    </xdr:from>
    <xdr:to>
      <xdr:col>68</xdr:col>
      <xdr:colOff>76200</xdr:colOff>
      <xdr:row>40</xdr:row>
      <xdr:rowOff>47625</xdr:rowOff>
    </xdr:to>
    <xdr:sp macro="" textlink="">
      <xdr:nvSpPr>
        <xdr:cNvPr id="53" name="Text Box 70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09550" y="8543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46</xdr:row>
      <xdr:rowOff>0</xdr:rowOff>
    </xdr:from>
    <xdr:to>
      <xdr:col>71</xdr:col>
      <xdr:colOff>47625</xdr:colOff>
      <xdr:row>48</xdr:row>
      <xdr:rowOff>9525</xdr:rowOff>
    </xdr:to>
    <xdr:sp macro="" textlink="">
      <xdr:nvSpPr>
        <xdr:cNvPr id="54" name="Text Box 6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09550" y="13801725"/>
          <a:ext cx="3619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46</xdr:row>
      <xdr:rowOff>0</xdr:rowOff>
    </xdr:from>
    <xdr:to>
      <xdr:col>68</xdr:col>
      <xdr:colOff>76200</xdr:colOff>
      <xdr:row>47</xdr:row>
      <xdr:rowOff>133350</xdr:rowOff>
    </xdr:to>
    <xdr:sp macro="" textlink="">
      <xdr:nvSpPr>
        <xdr:cNvPr id="55" name="Text Box 8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09550" y="138017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68</xdr:col>
      <xdr:colOff>0</xdr:colOff>
      <xdr:row>55</xdr:row>
      <xdr:rowOff>142875</xdr:rowOff>
    </xdr:from>
    <xdr:ext cx="514350" cy="323850"/>
    <xdr:sp macro="" textlink="">
      <xdr:nvSpPr>
        <xdr:cNvPr id="56" name="Text Box 1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09550" y="21831300"/>
          <a:ext cx="5143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u="none" strike="noStrike" baseline="3000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68</xdr:col>
      <xdr:colOff>0</xdr:colOff>
      <xdr:row>72</xdr:row>
      <xdr:rowOff>0</xdr:rowOff>
    </xdr:from>
    <xdr:to>
      <xdr:col>71</xdr:col>
      <xdr:colOff>47625</xdr:colOff>
      <xdr:row>73</xdr:row>
      <xdr:rowOff>104775</xdr:rowOff>
    </xdr:to>
    <xdr:sp macro="" textlink="">
      <xdr:nvSpPr>
        <xdr:cNvPr id="58" name="Text Box 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09550" y="25412700"/>
          <a:ext cx="361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19050</xdr:colOff>
      <xdr:row>50</xdr:row>
      <xdr:rowOff>19050</xdr:rowOff>
    </xdr:from>
    <xdr:to>
      <xdr:col>20</xdr:col>
      <xdr:colOff>0</xdr:colOff>
      <xdr:row>52</xdr:row>
      <xdr:rowOff>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>
          <a:off x="752475" y="15259050"/>
          <a:ext cx="1343025" cy="323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58</xdr:row>
      <xdr:rowOff>0</xdr:rowOff>
    </xdr:from>
    <xdr:to>
      <xdr:col>5</xdr:col>
      <xdr:colOff>47625</xdr:colOff>
      <xdr:row>60</xdr:row>
      <xdr:rowOff>9525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09550" y="10077450"/>
          <a:ext cx="3619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59</xdr:row>
      <xdr:rowOff>133350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09550" y="100774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4" name="Text Box 6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09550" y="6819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5" name="Text Box 70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09550" y="6819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6" name="Text Box 6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0955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7" name="Text Box 70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0955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" name="Text Box 65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09550" y="6819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9" name="Text Box 7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209550" y="6819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5</xdr:col>
      <xdr:colOff>47625</xdr:colOff>
      <xdr:row>48</xdr:row>
      <xdr:rowOff>9525</xdr:rowOff>
    </xdr:to>
    <xdr:sp macro="" textlink="">
      <xdr:nvSpPr>
        <xdr:cNvPr id="10" name="Text Box 6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09550" y="8020050"/>
          <a:ext cx="3619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133350</xdr:rowOff>
    </xdr:to>
    <xdr:sp macro="" textlink="">
      <xdr:nvSpPr>
        <xdr:cNvPr id="11" name="Text Box 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09550" y="8020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55</xdr:row>
      <xdr:rowOff>142875</xdr:rowOff>
    </xdr:from>
    <xdr:ext cx="514350" cy="323850"/>
    <xdr:sp macro="" textlink="">
      <xdr:nvSpPr>
        <xdr:cNvPr id="12" name="Text Box 15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09550" y="9705975"/>
          <a:ext cx="5143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u="none" strike="noStrike" baseline="3000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2</xdr:col>
      <xdr:colOff>0</xdr:colOff>
      <xdr:row>46</xdr:row>
      <xdr:rowOff>0</xdr:rowOff>
    </xdr:from>
    <xdr:to>
      <xdr:col>5</xdr:col>
      <xdr:colOff>47625</xdr:colOff>
      <xdr:row>47</xdr:row>
      <xdr:rowOff>104775</xdr:rowOff>
    </xdr:to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09550" y="8020050"/>
          <a:ext cx="361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5</xdr:col>
      <xdr:colOff>47625</xdr:colOff>
      <xdr:row>73</xdr:row>
      <xdr:rowOff>104775</xdr:rowOff>
    </xdr:to>
    <xdr:sp macro="" textlink="">
      <xdr:nvSpPr>
        <xdr:cNvPr id="14" name="Text Box 6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09550" y="12487275"/>
          <a:ext cx="361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58</xdr:row>
      <xdr:rowOff>0</xdr:rowOff>
    </xdr:from>
    <xdr:to>
      <xdr:col>71</xdr:col>
      <xdr:colOff>47625</xdr:colOff>
      <xdr:row>60</xdr:row>
      <xdr:rowOff>9525</xdr:rowOff>
    </xdr:to>
    <xdr:sp macro="" textlink="">
      <xdr:nvSpPr>
        <xdr:cNvPr id="15" name="Text Box 6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7124700" y="10077450"/>
          <a:ext cx="3619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58</xdr:row>
      <xdr:rowOff>0</xdr:rowOff>
    </xdr:from>
    <xdr:to>
      <xdr:col>68</xdr:col>
      <xdr:colOff>76200</xdr:colOff>
      <xdr:row>59</xdr:row>
      <xdr:rowOff>133350</xdr:rowOff>
    </xdr:to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7124700" y="100774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97</xdr:row>
      <xdr:rowOff>0</xdr:rowOff>
    </xdr:from>
    <xdr:to>
      <xdr:col>72</xdr:col>
      <xdr:colOff>95250</xdr:colOff>
      <xdr:row>98</xdr:row>
      <xdr:rowOff>152400</xdr:rowOff>
    </xdr:to>
    <xdr:sp macro="" textlink="">
      <xdr:nvSpPr>
        <xdr:cNvPr id="17" name="Text Box 15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7124700" y="17306925"/>
          <a:ext cx="5143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u="none" strike="noStrike" baseline="3000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68</xdr:col>
      <xdr:colOff>0</xdr:colOff>
      <xdr:row>39</xdr:row>
      <xdr:rowOff>0</xdr:rowOff>
    </xdr:from>
    <xdr:to>
      <xdr:col>68</xdr:col>
      <xdr:colOff>76200</xdr:colOff>
      <xdr:row>40</xdr:row>
      <xdr:rowOff>47625</xdr:rowOff>
    </xdr:to>
    <xdr:sp macro="" textlink="">
      <xdr:nvSpPr>
        <xdr:cNvPr id="18" name="Text Box 65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7124700" y="6819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39</xdr:row>
      <xdr:rowOff>0</xdr:rowOff>
    </xdr:from>
    <xdr:to>
      <xdr:col>68</xdr:col>
      <xdr:colOff>76200</xdr:colOff>
      <xdr:row>40</xdr:row>
      <xdr:rowOff>47625</xdr:rowOff>
    </xdr:to>
    <xdr:sp macro="" textlink="">
      <xdr:nvSpPr>
        <xdr:cNvPr id="19" name="Text Box 70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7124700" y="6819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24</xdr:row>
      <xdr:rowOff>0</xdr:rowOff>
    </xdr:from>
    <xdr:to>
      <xdr:col>68</xdr:col>
      <xdr:colOff>76200</xdr:colOff>
      <xdr:row>25</xdr:row>
      <xdr:rowOff>47625</xdr:rowOff>
    </xdr:to>
    <xdr:sp macro="" textlink="">
      <xdr:nvSpPr>
        <xdr:cNvPr id="20" name="Text Box 65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71247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24</xdr:row>
      <xdr:rowOff>0</xdr:rowOff>
    </xdr:from>
    <xdr:to>
      <xdr:col>68</xdr:col>
      <xdr:colOff>76200</xdr:colOff>
      <xdr:row>25</xdr:row>
      <xdr:rowOff>47625</xdr:rowOff>
    </xdr:to>
    <xdr:sp macro="" textlink="">
      <xdr:nvSpPr>
        <xdr:cNvPr id="21" name="Text Box 7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71247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39</xdr:row>
      <xdr:rowOff>0</xdr:rowOff>
    </xdr:from>
    <xdr:to>
      <xdr:col>68</xdr:col>
      <xdr:colOff>76200</xdr:colOff>
      <xdr:row>40</xdr:row>
      <xdr:rowOff>47625</xdr:rowOff>
    </xdr:to>
    <xdr:sp macro="" textlink="">
      <xdr:nvSpPr>
        <xdr:cNvPr id="22" name="Text Box 65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7124700" y="6819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39</xdr:row>
      <xdr:rowOff>0</xdr:rowOff>
    </xdr:from>
    <xdr:to>
      <xdr:col>68</xdr:col>
      <xdr:colOff>76200</xdr:colOff>
      <xdr:row>40</xdr:row>
      <xdr:rowOff>47625</xdr:rowOff>
    </xdr:to>
    <xdr:sp macro="" textlink="">
      <xdr:nvSpPr>
        <xdr:cNvPr id="23" name="Text Box 70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7124700" y="6819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46</xdr:row>
      <xdr:rowOff>0</xdr:rowOff>
    </xdr:from>
    <xdr:to>
      <xdr:col>71</xdr:col>
      <xdr:colOff>47625</xdr:colOff>
      <xdr:row>48</xdr:row>
      <xdr:rowOff>9525</xdr:rowOff>
    </xdr:to>
    <xdr:sp macro="" textlink="">
      <xdr:nvSpPr>
        <xdr:cNvPr id="24" name="Text Box 6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7124700" y="8020050"/>
          <a:ext cx="3619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46</xdr:row>
      <xdr:rowOff>0</xdr:rowOff>
    </xdr:from>
    <xdr:to>
      <xdr:col>68</xdr:col>
      <xdr:colOff>76200</xdr:colOff>
      <xdr:row>47</xdr:row>
      <xdr:rowOff>133350</xdr:rowOff>
    </xdr:to>
    <xdr:sp macro="" textlink="">
      <xdr:nvSpPr>
        <xdr:cNvPr id="25" name="Text Box 8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7124700" y="8020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68</xdr:col>
      <xdr:colOff>0</xdr:colOff>
      <xdr:row>55</xdr:row>
      <xdr:rowOff>142875</xdr:rowOff>
    </xdr:from>
    <xdr:ext cx="514350" cy="323850"/>
    <xdr:sp macro="" textlink="">
      <xdr:nvSpPr>
        <xdr:cNvPr id="26" name="Text Box 1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7124700" y="9705975"/>
          <a:ext cx="5143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u="none" strike="noStrike" baseline="3000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68</xdr:col>
      <xdr:colOff>0</xdr:colOff>
      <xdr:row>72</xdr:row>
      <xdr:rowOff>0</xdr:rowOff>
    </xdr:from>
    <xdr:to>
      <xdr:col>71</xdr:col>
      <xdr:colOff>47625</xdr:colOff>
      <xdr:row>73</xdr:row>
      <xdr:rowOff>104775</xdr:rowOff>
    </xdr:to>
    <xdr:sp macro="" textlink="">
      <xdr:nvSpPr>
        <xdr:cNvPr id="27" name="Text Box 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7124700" y="12487275"/>
          <a:ext cx="361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19050</xdr:colOff>
      <xdr:row>50</xdr:row>
      <xdr:rowOff>19050</xdr:rowOff>
    </xdr:from>
    <xdr:to>
      <xdr:col>20</xdr:col>
      <xdr:colOff>0</xdr:colOff>
      <xdr:row>52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CxnSpPr/>
      </xdr:nvCxnSpPr>
      <xdr:spPr>
        <a:xfrm>
          <a:off x="752475" y="8724900"/>
          <a:ext cx="1343025" cy="323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58</xdr:row>
      <xdr:rowOff>0</xdr:rowOff>
    </xdr:from>
    <xdr:to>
      <xdr:col>5</xdr:col>
      <xdr:colOff>47625</xdr:colOff>
      <xdr:row>60</xdr:row>
      <xdr:rowOff>9525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09550" y="10077450"/>
          <a:ext cx="3619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59</xdr:row>
      <xdr:rowOff>133350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09550" y="100774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4" name="Text Box 6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09550" y="6819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5" name="Text Box 70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09550" y="6819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6" name="Text Box 6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0955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7" name="Text Box 70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20955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" name="Text Box 65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09550" y="6819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9" name="Text Box 70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209550" y="6819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5</xdr:col>
      <xdr:colOff>47625</xdr:colOff>
      <xdr:row>48</xdr:row>
      <xdr:rowOff>9525</xdr:rowOff>
    </xdr:to>
    <xdr:sp macro="" textlink="">
      <xdr:nvSpPr>
        <xdr:cNvPr id="10" name="Text Box 6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209550" y="8020050"/>
          <a:ext cx="3619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47</xdr:row>
      <xdr:rowOff>133350</xdr:rowOff>
    </xdr:to>
    <xdr:sp macro="" textlink="">
      <xdr:nvSpPr>
        <xdr:cNvPr id="11" name="Text Box 8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09550" y="8020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55</xdr:row>
      <xdr:rowOff>142875</xdr:rowOff>
    </xdr:from>
    <xdr:ext cx="514350" cy="323850"/>
    <xdr:sp macro="" textlink="">
      <xdr:nvSpPr>
        <xdr:cNvPr id="12" name="Text Box 15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09550" y="9705975"/>
          <a:ext cx="5143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u="none" strike="noStrike" baseline="3000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2</xdr:col>
      <xdr:colOff>0</xdr:colOff>
      <xdr:row>46</xdr:row>
      <xdr:rowOff>0</xdr:rowOff>
    </xdr:from>
    <xdr:to>
      <xdr:col>5</xdr:col>
      <xdr:colOff>47625</xdr:colOff>
      <xdr:row>47</xdr:row>
      <xdr:rowOff>104775</xdr:rowOff>
    </xdr:to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209550" y="8020050"/>
          <a:ext cx="361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5</xdr:col>
      <xdr:colOff>47625</xdr:colOff>
      <xdr:row>73</xdr:row>
      <xdr:rowOff>104775</xdr:rowOff>
    </xdr:to>
    <xdr:sp macro="" textlink="">
      <xdr:nvSpPr>
        <xdr:cNvPr id="14" name="Text Box 6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09550" y="12487275"/>
          <a:ext cx="361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58</xdr:row>
      <xdr:rowOff>0</xdr:rowOff>
    </xdr:from>
    <xdr:to>
      <xdr:col>71</xdr:col>
      <xdr:colOff>47625</xdr:colOff>
      <xdr:row>60</xdr:row>
      <xdr:rowOff>9525</xdr:rowOff>
    </xdr:to>
    <xdr:sp macro="" textlink="">
      <xdr:nvSpPr>
        <xdr:cNvPr id="15" name="Text Box 6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124700" y="10077450"/>
          <a:ext cx="3619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58</xdr:row>
      <xdr:rowOff>0</xdr:rowOff>
    </xdr:from>
    <xdr:to>
      <xdr:col>68</xdr:col>
      <xdr:colOff>76200</xdr:colOff>
      <xdr:row>59</xdr:row>
      <xdr:rowOff>133350</xdr:rowOff>
    </xdr:to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124700" y="100774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97</xdr:row>
      <xdr:rowOff>0</xdr:rowOff>
    </xdr:from>
    <xdr:to>
      <xdr:col>72</xdr:col>
      <xdr:colOff>95250</xdr:colOff>
      <xdr:row>98</xdr:row>
      <xdr:rowOff>152400</xdr:rowOff>
    </xdr:to>
    <xdr:sp macro="" textlink="">
      <xdr:nvSpPr>
        <xdr:cNvPr id="17" name="Text Box 15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7124700" y="17306925"/>
          <a:ext cx="5143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u="none" strike="noStrike" baseline="3000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68</xdr:col>
      <xdr:colOff>0</xdr:colOff>
      <xdr:row>39</xdr:row>
      <xdr:rowOff>0</xdr:rowOff>
    </xdr:from>
    <xdr:to>
      <xdr:col>68</xdr:col>
      <xdr:colOff>76200</xdr:colOff>
      <xdr:row>40</xdr:row>
      <xdr:rowOff>47625</xdr:rowOff>
    </xdr:to>
    <xdr:sp macro="" textlink="">
      <xdr:nvSpPr>
        <xdr:cNvPr id="18" name="Text Box 65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7124700" y="6819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39</xdr:row>
      <xdr:rowOff>0</xdr:rowOff>
    </xdr:from>
    <xdr:to>
      <xdr:col>68</xdr:col>
      <xdr:colOff>76200</xdr:colOff>
      <xdr:row>40</xdr:row>
      <xdr:rowOff>47625</xdr:rowOff>
    </xdr:to>
    <xdr:sp macro="" textlink="">
      <xdr:nvSpPr>
        <xdr:cNvPr id="19" name="Text Box 70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7124700" y="6819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24</xdr:row>
      <xdr:rowOff>0</xdr:rowOff>
    </xdr:from>
    <xdr:to>
      <xdr:col>68</xdr:col>
      <xdr:colOff>76200</xdr:colOff>
      <xdr:row>25</xdr:row>
      <xdr:rowOff>47625</xdr:rowOff>
    </xdr:to>
    <xdr:sp macro="" textlink="">
      <xdr:nvSpPr>
        <xdr:cNvPr id="20" name="Text Box 65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71247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24</xdr:row>
      <xdr:rowOff>0</xdr:rowOff>
    </xdr:from>
    <xdr:to>
      <xdr:col>68</xdr:col>
      <xdr:colOff>76200</xdr:colOff>
      <xdr:row>25</xdr:row>
      <xdr:rowOff>47625</xdr:rowOff>
    </xdr:to>
    <xdr:sp macro="" textlink="">
      <xdr:nvSpPr>
        <xdr:cNvPr id="21" name="Text Box 7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7124700" y="4248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39</xdr:row>
      <xdr:rowOff>0</xdr:rowOff>
    </xdr:from>
    <xdr:to>
      <xdr:col>68</xdr:col>
      <xdr:colOff>76200</xdr:colOff>
      <xdr:row>40</xdr:row>
      <xdr:rowOff>47625</xdr:rowOff>
    </xdr:to>
    <xdr:sp macro="" textlink="">
      <xdr:nvSpPr>
        <xdr:cNvPr id="22" name="Text Box 65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7124700" y="6819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39</xdr:row>
      <xdr:rowOff>0</xdr:rowOff>
    </xdr:from>
    <xdr:to>
      <xdr:col>68</xdr:col>
      <xdr:colOff>76200</xdr:colOff>
      <xdr:row>40</xdr:row>
      <xdr:rowOff>47625</xdr:rowOff>
    </xdr:to>
    <xdr:sp macro="" textlink="">
      <xdr:nvSpPr>
        <xdr:cNvPr id="23" name="Text Box 70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7124700" y="6819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46</xdr:row>
      <xdr:rowOff>0</xdr:rowOff>
    </xdr:from>
    <xdr:to>
      <xdr:col>71</xdr:col>
      <xdr:colOff>47625</xdr:colOff>
      <xdr:row>48</xdr:row>
      <xdr:rowOff>9525</xdr:rowOff>
    </xdr:to>
    <xdr:sp macro="" textlink="">
      <xdr:nvSpPr>
        <xdr:cNvPr id="24" name="Text Box 6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7124700" y="8020050"/>
          <a:ext cx="3619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</xdr:col>
      <xdr:colOff>0</xdr:colOff>
      <xdr:row>46</xdr:row>
      <xdr:rowOff>0</xdr:rowOff>
    </xdr:from>
    <xdr:to>
      <xdr:col>68</xdr:col>
      <xdr:colOff>76200</xdr:colOff>
      <xdr:row>47</xdr:row>
      <xdr:rowOff>133350</xdr:rowOff>
    </xdr:to>
    <xdr:sp macro="" textlink="">
      <xdr:nvSpPr>
        <xdr:cNvPr id="25" name="Text Box 8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7124700" y="8020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68</xdr:col>
      <xdr:colOff>0</xdr:colOff>
      <xdr:row>55</xdr:row>
      <xdr:rowOff>142875</xdr:rowOff>
    </xdr:from>
    <xdr:ext cx="514350" cy="323850"/>
    <xdr:sp macro="" textlink="">
      <xdr:nvSpPr>
        <xdr:cNvPr id="26" name="Text Box 1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7124700" y="9705975"/>
          <a:ext cx="5143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u="none" strike="noStrike" baseline="3000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68</xdr:col>
      <xdr:colOff>0</xdr:colOff>
      <xdr:row>72</xdr:row>
      <xdr:rowOff>0</xdr:rowOff>
    </xdr:from>
    <xdr:to>
      <xdr:col>71</xdr:col>
      <xdr:colOff>47625</xdr:colOff>
      <xdr:row>73</xdr:row>
      <xdr:rowOff>104775</xdr:rowOff>
    </xdr:to>
    <xdr:sp macro="" textlink="">
      <xdr:nvSpPr>
        <xdr:cNvPr id="27" name="Text Box 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7124700" y="12487275"/>
          <a:ext cx="361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19050</xdr:colOff>
      <xdr:row>50</xdr:row>
      <xdr:rowOff>19050</xdr:rowOff>
    </xdr:from>
    <xdr:to>
      <xdr:col>20</xdr:col>
      <xdr:colOff>0</xdr:colOff>
      <xdr:row>52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CxnSpPr/>
      </xdr:nvCxnSpPr>
      <xdr:spPr>
        <a:xfrm>
          <a:off x="752475" y="8724900"/>
          <a:ext cx="1343025" cy="323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35"/>
  <sheetViews>
    <sheetView tabSelected="1" workbookViewId="0">
      <selection activeCell="AQ109" sqref="AQ109"/>
    </sheetView>
  </sheetViews>
  <sheetFormatPr defaultColWidth="1.375" defaultRowHeight="13.5" x14ac:dyDescent="0.15"/>
  <sheetData>
    <row r="1" spans="1:66" ht="14.25" thickBot="1" x14ac:dyDescent="0.2"/>
    <row r="2" spans="1:66" ht="18.75" thickTop="1" thickBot="1" x14ac:dyDescent="0.25">
      <c r="A2" s="1"/>
      <c r="B2" s="2" t="s">
        <v>0</v>
      </c>
      <c r="C2" s="13" t="s">
        <v>4</v>
      </c>
      <c r="D2" s="13"/>
      <c r="E2" s="13"/>
      <c r="F2" s="13"/>
      <c r="G2" s="13"/>
      <c r="H2" s="13"/>
      <c r="I2" s="13"/>
      <c r="J2" s="13"/>
      <c r="K2" s="13"/>
      <c r="L2" s="13"/>
      <c r="M2" s="13"/>
      <c r="AK2" s="33" t="s">
        <v>10</v>
      </c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4"/>
      <c r="AY2" s="30">
        <v>14900</v>
      </c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2"/>
      <c r="BM2" s="35" t="s">
        <v>11</v>
      </c>
      <c r="BN2" s="13"/>
    </row>
    <row r="3" spans="1:66" ht="18" thickTop="1" x14ac:dyDescent="0.2">
      <c r="A3" s="1"/>
      <c r="B3" s="2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66" x14ac:dyDescent="0.15">
      <c r="A4" s="1"/>
      <c r="B4" s="1"/>
      <c r="F4" s="13" t="s">
        <v>53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66" x14ac:dyDescent="0.15">
      <c r="A5" s="1"/>
      <c r="B5" s="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66" x14ac:dyDescent="0.15">
      <c r="A6" s="1"/>
      <c r="B6" s="1"/>
      <c r="H6" s="16" t="s">
        <v>8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6" t="s">
        <v>12</v>
      </c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40"/>
    </row>
    <row r="7" spans="1:66" x14ac:dyDescent="0.15">
      <c r="A7" s="1"/>
      <c r="B7" s="1"/>
      <c r="H7" s="16" t="s">
        <v>5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6" t="s">
        <v>13</v>
      </c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40"/>
    </row>
    <row r="8" spans="1:66" x14ac:dyDescent="0.15">
      <c r="A8" s="1"/>
      <c r="B8" s="1"/>
      <c r="H8" s="21" t="s">
        <v>6</v>
      </c>
      <c r="I8" s="22"/>
      <c r="J8" s="22"/>
      <c r="K8" s="22"/>
      <c r="L8" s="22"/>
      <c r="M8" s="22"/>
      <c r="N8" s="22"/>
      <c r="O8" s="22"/>
      <c r="P8" s="23"/>
      <c r="Q8" s="14" t="s">
        <v>9</v>
      </c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21" t="s">
        <v>6</v>
      </c>
      <c r="AJ8" s="22"/>
      <c r="AK8" s="22"/>
      <c r="AL8" s="22"/>
      <c r="AM8" s="22"/>
      <c r="AN8" s="22"/>
      <c r="AO8" s="22"/>
      <c r="AP8" s="22"/>
      <c r="AQ8" s="23"/>
      <c r="AR8" s="14" t="s">
        <v>9</v>
      </c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36"/>
    </row>
    <row r="9" spans="1:66" x14ac:dyDescent="0.15">
      <c r="A9" s="1"/>
      <c r="B9" s="1"/>
      <c r="H9" s="18" t="s">
        <v>7</v>
      </c>
      <c r="I9" s="19"/>
      <c r="J9" s="19"/>
      <c r="K9" s="19"/>
      <c r="L9" s="19"/>
      <c r="M9" s="19"/>
      <c r="N9" s="19"/>
      <c r="O9" s="19"/>
      <c r="P9" s="20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8" t="s">
        <v>7</v>
      </c>
      <c r="AJ9" s="19"/>
      <c r="AK9" s="19"/>
      <c r="AL9" s="19"/>
      <c r="AM9" s="19"/>
      <c r="AN9" s="19"/>
      <c r="AO9" s="19"/>
      <c r="AP9" s="19"/>
      <c r="AQ9" s="20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37"/>
    </row>
    <row r="10" spans="1:66" x14ac:dyDescent="0.15">
      <c r="A10" s="1"/>
      <c r="B10" s="1"/>
      <c r="H10" s="25">
        <v>18</v>
      </c>
      <c r="I10" s="26"/>
      <c r="J10" s="26"/>
      <c r="K10" s="26"/>
      <c r="L10" s="26"/>
      <c r="M10" s="26"/>
      <c r="N10" s="26"/>
      <c r="O10" s="26"/>
      <c r="P10" s="27"/>
      <c r="Q10" s="26">
        <f>$AY$2</f>
        <v>14900</v>
      </c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5">
        <v>18</v>
      </c>
      <c r="AJ10" s="26"/>
      <c r="AK10" s="26"/>
      <c r="AL10" s="26"/>
      <c r="AM10" s="26"/>
      <c r="AN10" s="26"/>
      <c r="AO10" s="26"/>
      <c r="AP10" s="26"/>
      <c r="AQ10" s="27"/>
      <c r="AR10" s="26">
        <f>$AY$2+1000</f>
        <v>15900</v>
      </c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7"/>
    </row>
    <row r="11" spans="1:66" x14ac:dyDescent="0.15">
      <c r="A11" s="1"/>
      <c r="B11" s="1"/>
      <c r="H11" s="28">
        <v>21</v>
      </c>
      <c r="I11" s="24"/>
      <c r="J11" s="24"/>
      <c r="K11" s="24"/>
      <c r="L11" s="24"/>
      <c r="M11" s="24"/>
      <c r="N11" s="24"/>
      <c r="O11" s="24"/>
      <c r="P11" s="29"/>
      <c r="Q11" s="24">
        <f>$AY$2+300</f>
        <v>15200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8">
        <v>21</v>
      </c>
      <c r="AJ11" s="24"/>
      <c r="AK11" s="24"/>
      <c r="AL11" s="24"/>
      <c r="AM11" s="24"/>
      <c r="AN11" s="24"/>
      <c r="AO11" s="24"/>
      <c r="AP11" s="24"/>
      <c r="AQ11" s="29"/>
      <c r="AR11" s="24">
        <f>$AY$2+1400</f>
        <v>16300</v>
      </c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9"/>
    </row>
    <row r="12" spans="1:66" x14ac:dyDescent="0.15">
      <c r="A12" s="1"/>
      <c r="B12" s="1"/>
      <c r="H12" s="28">
        <v>24</v>
      </c>
      <c r="I12" s="24"/>
      <c r="J12" s="24"/>
      <c r="K12" s="24"/>
      <c r="L12" s="24"/>
      <c r="M12" s="24"/>
      <c r="N12" s="24"/>
      <c r="O12" s="24"/>
      <c r="P12" s="29"/>
      <c r="Q12" s="24">
        <f>$AY$2+600</f>
        <v>15500</v>
      </c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8">
        <v>24</v>
      </c>
      <c r="AJ12" s="24"/>
      <c r="AK12" s="24"/>
      <c r="AL12" s="24"/>
      <c r="AM12" s="24"/>
      <c r="AN12" s="24"/>
      <c r="AO12" s="24"/>
      <c r="AP12" s="24"/>
      <c r="AQ12" s="29"/>
      <c r="AR12" s="24">
        <f>$AY$2+1900</f>
        <v>16800</v>
      </c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9"/>
    </row>
    <row r="13" spans="1:66" x14ac:dyDescent="0.15">
      <c r="A13" s="1"/>
      <c r="B13" s="1"/>
      <c r="H13" s="28">
        <v>27</v>
      </c>
      <c r="I13" s="24"/>
      <c r="J13" s="24"/>
      <c r="K13" s="24"/>
      <c r="L13" s="24"/>
      <c r="M13" s="24"/>
      <c r="N13" s="24"/>
      <c r="O13" s="24"/>
      <c r="P13" s="29"/>
      <c r="Q13" s="24">
        <f>$AY$2+900</f>
        <v>15800</v>
      </c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8">
        <v>27</v>
      </c>
      <c r="AJ13" s="24"/>
      <c r="AK13" s="24"/>
      <c r="AL13" s="24"/>
      <c r="AM13" s="24"/>
      <c r="AN13" s="24"/>
      <c r="AO13" s="24"/>
      <c r="AP13" s="24"/>
      <c r="AQ13" s="29"/>
      <c r="AR13" s="24">
        <f>$AY$2+2250</f>
        <v>17150</v>
      </c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9"/>
    </row>
    <row r="14" spans="1:66" x14ac:dyDescent="0.15">
      <c r="A14" s="1"/>
      <c r="B14" s="1"/>
      <c r="H14" s="28">
        <v>30</v>
      </c>
      <c r="I14" s="24"/>
      <c r="J14" s="24"/>
      <c r="K14" s="24"/>
      <c r="L14" s="24"/>
      <c r="M14" s="24"/>
      <c r="N14" s="24"/>
      <c r="O14" s="24"/>
      <c r="P14" s="29"/>
      <c r="Q14" s="24">
        <f>$AY$2+1200</f>
        <v>16100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8">
        <v>30</v>
      </c>
      <c r="AJ14" s="24"/>
      <c r="AK14" s="24"/>
      <c r="AL14" s="24"/>
      <c r="AM14" s="24"/>
      <c r="AN14" s="24"/>
      <c r="AO14" s="24"/>
      <c r="AP14" s="24"/>
      <c r="AQ14" s="29"/>
      <c r="AR14" s="24">
        <f>$AY$2+2700</f>
        <v>17600</v>
      </c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9"/>
    </row>
    <row r="15" spans="1:66" x14ac:dyDescent="0.15">
      <c r="A15" s="1"/>
      <c r="B15" s="1"/>
      <c r="H15" s="43">
        <v>33</v>
      </c>
      <c r="I15" s="38"/>
      <c r="J15" s="38"/>
      <c r="K15" s="38"/>
      <c r="L15" s="38"/>
      <c r="M15" s="38"/>
      <c r="N15" s="38"/>
      <c r="O15" s="38"/>
      <c r="P15" s="39"/>
      <c r="Q15" s="38">
        <f>$AY$2+1700</f>
        <v>16600</v>
      </c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43">
        <v>33</v>
      </c>
      <c r="AJ15" s="38"/>
      <c r="AK15" s="38"/>
      <c r="AL15" s="38"/>
      <c r="AM15" s="38"/>
      <c r="AN15" s="38"/>
      <c r="AO15" s="38"/>
      <c r="AP15" s="38"/>
      <c r="AQ15" s="39"/>
      <c r="AR15" s="38">
        <f>$AY$2+3200</f>
        <v>18100</v>
      </c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9"/>
    </row>
    <row r="16" spans="1:66" x14ac:dyDescent="0.15">
      <c r="A16" s="1"/>
      <c r="B16" s="1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</row>
    <row r="17" spans="1:61" x14ac:dyDescent="0.15">
      <c r="A17" s="1"/>
      <c r="B17" s="1"/>
      <c r="G17" s="13" t="s">
        <v>14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</row>
    <row r="18" spans="1:61" x14ac:dyDescent="0.15">
      <c r="A18" s="1"/>
      <c r="B18" s="1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61" x14ac:dyDescent="0.15">
      <c r="A19" s="1"/>
      <c r="B19" s="1"/>
      <c r="H19" s="41" t="s">
        <v>8</v>
      </c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 t="s">
        <v>12</v>
      </c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</row>
    <row r="20" spans="1:61" x14ac:dyDescent="0.15">
      <c r="A20" s="1"/>
      <c r="B20" s="1"/>
      <c r="H20" s="41" t="s">
        <v>5</v>
      </c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 t="s">
        <v>13</v>
      </c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</row>
    <row r="21" spans="1:61" x14ac:dyDescent="0.15">
      <c r="A21" s="1"/>
      <c r="B21" s="1"/>
      <c r="H21" s="44" t="s">
        <v>6</v>
      </c>
      <c r="I21" s="45"/>
      <c r="J21" s="45"/>
      <c r="K21" s="45"/>
      <c r="L21" s="45"/>
      <c r="M21" s="45"/>
      <c r="N21" s="45"/>
      <c r="O21" s="45"/>
      <c r="P21" s="45"/>
      <c r="Q21" s="41" t="s">
        <v>51</v>
      </c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4" t="s">
        <v>6</v>
      </c>
      <c r="AJ21" s="45"/>
      <c r="AK21" s="45"/>
      <c r="AL21" s="45"/>
      <c r="AM21" s="45"/>
      <c r="AN21" s="45"/>
      <c r="AO21" s="45"/>
      <c r="AP21" s="45"/>
      <c r="AQ21" s="45"/>
      <c r="AR21" s="41" t="s">
        <v>51</v>
      </c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</row>
    <row r="22" spans="1:61" x14ac:dyDescent="0.15">
      <c r="A22" s="1"/>
      <c r="B22" s="1"/>
      <c r="H22" s="46" t="s">
        <v>7</v>
      </c>
      <c r="I22" s="46"/>
      <c r="J22" s="46"/>
      <c r="K22" s="46"/>
      <c r="L22" s="46"/>
      <c r="M22" s="46"/>
      <c r="N22" s="46"/>
      <c r="O22" s="46"/>
      <c r="P22" s="46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6" t="s">
        <v>7</v>
      </c>
      <c r="AJ22" s="46"/>
      <c r="AK22" s="46"/>
      <c r="AL22" s="46"/>
      <c r="AM22" s="46"/>
      <c r="AN22" s="46"/>
      <c r="AO22" s="46"/>
      <c r="AP22" s="46"/>
      <c r="AQ22" s="46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</row>
    <row r="23" spans="1:61" x14ac:dyDescent="0.15">
      <c r="A23" s="1"/>
      <c r="B23" s="1"/>
      <c r="H23" s="42">
        <v>27</v>
      </c>
      <c r="I23" s="42"/>
      <c r="J23" s="42"/>
      <c r="K23" s="42"/>
      <c r="L23" s="42"/>
      <c r="M23" s="42"/>
      <c r="N23" s="42"/>
      <c r="O23" s="42"/>
      <c r="P23" s="42"/>
      <c r="Q23" s="42">
        <f>$AY$2+1700</f>
        <v>16600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>
        <v>27</v>
      </c>
      <c r="AJ23" s="42"/>
      <c r="AK23" s="42"/>
      <c r="AL23" s="42"/>
      <c r="AM23" s="42"/>
      <c r="AN23" s="42"/>
      <c r="AO23" s="42"/>
      <c r="AP23" s="42"/>
      <c r="AQ23" s="42"/>
      <c r="AR23" s="42">
        <f>$AY$2+3050</f>
        <v>17950</v>
      </c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</row>
    <row r="24" spans="1:61" x14ac:dyDescent="0.15">
      <c r="A24" s="1"/>
      <c r="B24" s="1"/>
      <c r="H24" s="47">
        <v>30</v>
      </c>
      <c r="I24" s="47"/>
      <c r="J24" s="47"/>
      <c r="K24" s="47"/>
      <c r="L24" s="47"/>
      <c r="M24" s="47"/>
      <c r="N24" s="47"/>
      <c r="O24" s="47"/>
      <c r="P24" s="47"/>
      <c r="Q24" s="47">
        <f>$AY$2+2000</f>
        <v>16900</v>
      </c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>
        <v>30</v>
      </c>
      <c r="AJ24" s="47"/>
      <c r="AK24" s="47"/>
      <c r="AL24" s="47"/>
      <c r="AM24" s="47"/>
      <c r="AN24" s="47"/>
      <c r="AO24" s="47"/>
      <c r="AP24" s="47"/>
      <c r="AQ24" s="47"/>
      <c r="AR24" s="47">
        <f>$AY$2+3500</f>
        <v>18400</v>
      </c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</row>
    <row r="25" spans="1:61" x14ac:dyDescent="0.15">
      <c r="A25" s="1"/>
      <c r="B25" s="1"/>
      <c r="H25" s="47">
        <v>33</v>
      </c>
      <c r="I25" s="47"/>
      <c r="J25" s="47"/>
      <c r="K25" s="47"/>
      <c r="L25" s="47"/>
      <c r="M25" s="47"/>
      <c r="N25" s="47"/>
      <c r="O25" s="47"/>
      <c r="P25" s="47"/>
      <c r="Q25" s="47">
        <f>$AY$2+2500</f>
        <v>17400</v>
      </c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>
        <v>33</v>
      </c>
      <c r="AJ25" s="47"/>
      <c r="AK25" s="47"/>
      <c r="AL25" s="47"/>
      <c r="AM25" s="47"/>
      <c r="AN25" s="47"/>
      <c r="AO25" s="47"/>
      <c r="AP25" s="47"/>
      <c r="AQ25" s="47"/>
      <c r="AR25" s="47">
        <f>$AY$2+4000</f>
        <v>18900</v>
      </c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</row>
    <row r="26" spans="1:61" x14ac:dyDescent="0.15">
      <c r="A26" s="1"/>
      <c r="B26" s="1"/>
      <c r="H26" s="47">
        <v>36</v>
      </c>
      <c r="I26" s="47"/>
      <c r="J26" s="47"/>
      <c r="K26" s="47"/>
      <c r="L26" s="47"/>
      <c r="M26" s="47"/>
      <c r="N26" s="47"/>
      <c r="O26" s="47"/>
      <c r="P26" s="47"/>
      <c r="Q26" s="47">
        <f>$AY$2+3150</f>
        <v>18050</v>
      </c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>
        <v>36</v>
      </c>
      <c r="AJ26" s="47"/>
      <c r="AK26" s="47"/>
      <c r="AL26" s="47"/>
      <c r="AM26" s="47"/>
      <c r="AN26" s="47"/>
      <c r="AO26" s="47"/>
      <c r="AP26" s="47"/>
      <c r="AQ26" s="47"/>
      <c r="AR26" s="47">
        <f>$AY$2+4800</f>
        <v>19700</v>
      </c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</row>
    <row r="27" spans="1:61" x14ac:dyDescent="0.15">
      <c r="A27" s="1"/>
      <c r="B27" s="1"/>
      <c r="H27" s="47">
        <v>39</v>
      </c>
      <c r="I27" s="47"/>
      <c r="J27" s="47"/>
      <c r="K27" s="47"/>
      <c r="L27" s="47"/>
      <c r="M27" s="47"/>
      <c r="N27" s="47"/>
      <c r="O27" s="47"/>
      <c r="P27" s="47"/>
      <c r="Q27" s="47">
        <f>$AY$2+3650</f>
        <v>18550</v>
      </c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>
        <v>39</v>
      </c>
      <c r="AJ27" s="47"/>
      <c r="AK27" s="47"/>
      <c r="AL27" s="47"/>
      <c r="AM27" s="47"/>
      <c r="AN27" s="47"/>
      <c r="AO27" s="47"/>
      <c r="AP27" s="47"/>
      <c r="AQ27" s="47"/>
      <c r="AR27" s="47">
        <f>$AY$2+5300</f>
        <v>20200</v>
      </c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</row>
    <row r="28" spans="1:61" x14ac:dyDescent="0.15">
      <c r="A28" s="1"/>
      <c r="B28" s="1"/>
      <c r="H28" s="47">
        <v>40</v>
      </c>
      <c r="I28" s="47"/>
      <c r="J28" s="47"/>
      <c r="K28" s="47"/>
      <c r="L28" s="47"/>
      <c r="M28" s="47"/>
      <c r="N28" s="47"/>
      <c r="O28" s="47"/>
      <c r="P28" s="47"/>
      <c r="Q28" s="47">
        <f>$AY$2+3800</f>
        <v>18700</v>
      </c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>
        <v>40</v>
      </c>
      <c r="AJ28" s="47"/>
      <c r="AK28" s="47"/>
      <c r="AL28" s="47"/>
      <c r="AM28" s="47"/>
      <c r="AN28" s="47"/>
      <c r="AO28" s="47"/>
      <c r="AP28" s="47"/>
      <c r="AQ28" s="47"/>
      <c r="AR28" s="47">
        <f>$AY$2+5500</f>
        <v>20400</v>
      </c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</row>
    <row r="29" spans="1:61" x14ac:dyDescent="0.15">
      <c r="A29" s="1"/>
      <c r="B29" s="1"/>
      <c r="H29" s="47">
        <v>42</v>
      </c>
      <c r="I29" s="47"/>
      <c r="J29" s="47"/>
      <c r="K29" s="47"/>
      <c r="L29" s="47"/>
      <c r="M29" s="47"/>
      <c r="N29" s="47"/>
      <c r="O29" s="47"/>
      <c r="P29" s="47"/>
      <c r="Q29" s="47">
        <f>$AY$2+4600</f>
        <v>19500</v>
      </c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>
        <v>42</v>
      </c>
      <c r="AJ29" s="47"/>
      <c r="AK29" s="47"/>
      <c r="AL29" s="47"/>
      <c r="AM29" s="47"/>
      <c r="AN29" s="47"/>
      <c r="AO29" s="47"/>
      <c r="AP29" s="47"/>
      <c r="AQ29" s="47"/>
      <c r="AR29" s="47">
        <f>$AY$2+6400</f>
        <v>21300</v>
      </c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</row>
    <row r="30" spans="1:61" x14ac:dyDescent="0.15">
      <c r="A30" s="1"/>
      <c r="B30" s="1"/>
      <c r="H30" s="48">
        <v>45</v>
      </c>
      <c r="I30" s="48"/>
      <c r="J30" s="48"/>
      <c r="K30" s="48"/>
      <c r="L30" s="48"/>
      <c r="M30" s="48"/>
      <c r="N30" s="48"/>
      <c r="O30" s="48"/>
      <c r="P30" s="48"/>
      <c r="Q30" s="48">
        <f>$AY$2+5000</f>
        <v>19900</v>
      </c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>
        <v>45</v>
      </c>
      <c r="AJ30" s="48"/>
      <c r="AK30" s="48"/>
      <c r="AL30" s="48"/>
      <c r="AM30" s="48"/>
      <c r="AN30" s="48"/>
      <c r="AO30" s="48"/>
      <c r="AP30" s="48"/>
      <c r="AQ30" s="48"/>
      <c r="AR30" s="48">
        <f>$AY$2+7050</f>
        <v>21950</v>
      </c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</row>
    <row r="31" spans="1:61" x14ac:dyDescent="0.15">
      <c r="A31" s="1"/>
      <c r="B31" s="1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</row>
    <row r="32" spans="1:61" x14ac:dyDescent="0.15">
      <c r="A32" s="1"/>
      <c r="B32" s="1"/>
      <c r="G32" s="13" t="s">
        <v>52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</row>
    <row r="33" spans="1:61" x14ac:dyDescent="0.15">
      <c r="A33" s="1"/>
      <c r="B33" s="1"/>
      <c r="H33" s="41" t="s">
        <v>15</v>
      </c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 t="s">
        <v>16</v>
      </c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</row>
    <row r="34" spans="1:61" x14ac:dyDescent="0.15">
      <c r="A34" s="1"/>
      <c r="B34" s="1"/>
      <c r="H34" s="41" t="s">
        <v>5</v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 t="s">
        <v>5</v>
      </c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</row>
    <row r="35" spans="1:61" x14ac:dyDescent="0.15">
      <c r="A35" s="1"/>
      <c r="B35" s="1"/>
      <c r="H35" s="44" t="s">
        <v>6</v>
      </c>
      <c r="I35" s="45"/>
      <c r="J35" s="45"/>
      <c r="K35" s="45"/>
      <c r="L35" s="45"/>
      <c r="M35" s="45"/>
      <c r="N35" s="45"/>
      <c r="O35" s="45"/>
      <c r="P35" s="45"/>
      <c r="Q35" s="41" t="s">
        <v>9</v>
      </c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4" t="s">
        <v>6</v>
      </c>
      <c r="AJ35" s="45"/>
      <c r="AK35" s="45"/>
      <c r="AL35" s="45"/>
      <c r="AM35" s="45"/>
      <c r="AN35" s="45"/>
      <c r="AO35" s="45"/>
      <c r="AP35" s="45"/>
      <c r="AQ35" s="45"/>
      <c r="AR35" s="41" t="s">
        <v>9</v>
      </c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</row>
    <row r="36" spans="1:61" x14ac:dyDescent="0.15">
      <c r="A36" s="1"/>
      <c r="B36" s="1"/>
      <c r="H36" s="46" t="s">
        <v>7</v>
      </c>
      <c r="I36" s="46"/>
      <c r="J36" s="46"/>
      <c r="K36" s="46"/>
      <c r="L36" s="46"/>
      <c r="M36" s="46"/>
      <c r="N36" s="46"/>
      <c r="O36" s="46"/>
      <c r="P36" s="46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6" t="s">
        <v>7</v>
      </c>
      <c r="AJ36" s="46"/>
      <c r="AK36" s="46"/>
      <c r="AL36" s="46"/>
      <c r="AM36" s="46"/>
      <c r="AN36" s="46"/>
      <c r="AO36" s="46"/>
      <c r="AP36" s="46"/>
      <c r="AQ36" s="46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</row>
    <row r="37" spans="1:61" x14ac:dyDescent="0.15">
      <c r="A37" s="1"/>
      <c r="B37" s="1"/>
      <c r="H37" s="42">
        <v>24</v>
      </c>
      <c r="I37" s="42"/>
      <c r="J37" s="42"/>
      <c r="K37" s="42"/>
      <c r="L37" s="42"/>
      <c r="M37" s="42"/>
      <c r="N37" s="42"/>
      <c r="O37" s="42"/>
      <c r="P37" s="42"/>
      <c r="Q37" s="42">
        <f>$AY$2+3350</f>
        <v>18250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>
        <v>24</v>
      </c>
      <c r="AJ37" s="42"/>
      <c r="AK37" s="42"/>
      <c r="AL37" s="42"/>
      <c r="AM37" s="42"/>
      <c r="AN37" s="42"/>
      <c r="AO37" s="42"/>
      <c r="AP37" s="42"/>
      <c r="AQ37" s="42"/>
      <c r="AR37" s="42" t="s">
        <v>67</v>
      </c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</row>
    <row r="38" spans="1:61" x14ac:dyDescent="0.15">
      <c r="A38" s="1"/>
      <c r="B38" s="1"/>
      <c r="H38" s="47">
        <v>27</v>
      </c>
      <c r="I38" s="47"/>
      <c r="J38" s="47"/>
      <c r="K38" s="47"/>
      <c r="L38" s="47"/>
      <c r="M38" s="47"/>
      <c r="N38" s="47"/>
      <c r="O38" s="47"/>
      <c r="P38" s="47"/>
      <c r="Q38" s="47">
        <f>$AY$2+3600</f>
        <v>18500</v>
      </c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>
        <v>27</v>
      </c>
      <c r="AJ38" s="47"/>
      <c r="AK38" s="47"/>
      <c r="AL38" s="47"/>
      <c r="AM38" s="47"/>
      <c r="AN38" s="47"/>
      <c r="AO38" s="47"/>
      <c r="AP38" s="47"/>
      <c r="AQ38" s="47"/>
      <c r="AR38" s="47">
        <f>$AY$2+4400</f>
        <v>19300</v>
      </c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</row>
    <row r="39" spans="1:61" x14ac:dyDescent="0.15">
      <c r="A39" s="1"/>
      <c r="B39" s="1"/>
      <c r="H39" s="47">
        <v>30</v>
      </c>
      <c r="I39" s="47"/>
      <c r="J39" s="47"/>
      <c r="K39" s="47"/>
      <c r="L39" s="47"/>
      <c r="M39" s="47"/>
      <c r="N39" s="47"/>
      <c r="O39" s="47"/>
      <c r="P39" s="47"/>
      <c r="Q39" s="47">
        <f>$AY$2+4050</f>
        <v>18950</v>
      </c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>
        <v>30</v>
      </c>
      <c r="AJ39" s="47"/>
      <c r="AK39" s="47"/>
      <c r="AL39" s="47"/>
      <c r="AM39" s="47"/>
      <c r="AN39" s="47"/>
      <c r="AO39" s="47"/>
      <c r="AP39" s="47"/>
      <c r="AQ39" s="47"/>
      <c r="AR39" s="47">
        <f>$AY$2+4850</f>
        <v>19750</v>
      </c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</row>
    <row r="40" spans="1:61" x14ac:dyDescent="0.15">
      <c r="A40" s="1"/>
      <c r="B40" s="1"/>
      <c r="H40" s="47">
        <v>33</v>
      </c>
      <c r="I40" s="47"/>
      <c r="J40" s="47"/>
      <c r="K40" s="47"/>
      <c r="L40" s="47"/>
      <c r="M40" s="47"/>
      <c r="N40" s="47"/>
      <c r="O40" s="47"/>
      <c r="P40" s="47"/>
      <c r="Q40" s="47" t="s">
        <v>90</v>
      </c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>
        <v>33</v>
      </c>
      <c r="AJ40" s="47"/>
      <c r="AK40" s="47"/>
      <c r="AL40" s="47"/>
      <c r="AM40" s="47"/>
      <c r="AN40" s="47"/>
      <c r="AO40" s="47"/>
      <c r="AP40" s="47"/>
      <c r="AQ40" s="47"/>
      <c r="AR40" s="47">
        <f>$AY$2+5350</f>
        <v>20250</v>
      </c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</row>
    <row r="41" spans="1:61" x14ac:dyDescent="0.15">
      <c r="A41" s="1"/>
      <c r="B41" s="1"/>
      <c r="H41" s="47">
        <v>36</v>
      </c>
      <c r="I41" s="47"/>
      <c r="J41" s="47"/>
      <c r="K41" s="47"/>
      <c r="L41" s="47"/>
      <c r="M41" s="47"/>
      <c r="N41" s="47"/>
      <c r="O41" s="47"/>
      <c r="P41" s="47"/>
      <c r="Q41" s="47" t="s">
        <v>67</v>
      </c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>
        <v>36</v>
      </c>
      <c r="AJ41" s="47"/>
      <c r="AK41" s="47"/>
      <c r="AL41" s="47"/>
      <c r="AM41" s="47"/>
      <c r="AN41" s="47"/>
      <c r="AO41" s="47"/>
      <c r="AP41" s="47"/>
      <c r="AQ41" s="47"/>
      <c r="AR41" s="47">
        <f>$AY$2+6100</f>
        <v>21000</v>
      </c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</row>
    <row r="42" spans="1:61" x14ac:dyDescent="0.15">
      <c r="A42" s="1"/>
      <c r="B42" s="1"/>
      <c r="H42" s="47">
        <v>39</v>
      </c>
      <c r="I42" s="47"/>
      <c r="J42" s="47"/>
      <c r="K42" s="47"/>
      <c r="L42" s="47"/>
      <c r="M42" s="47"/>
      <c r="N42" s="47"/>
      <c r="O42" s="47"/>
      <c r="P42" s="47"/>
      <c r="Q42" s="47" t="s">
        <v>67</v>
      </c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>
        <v>39</v>
      </c>
      <c r="AJ42" s="47"/>
      <c r="AK42" s="47"/>
      <c r="AL42" s="47"/>
      <c r="AM42" s="47"/>
      <c r="AN42" s="47"/>
      <c r="AO42" s="47"/>
      <c r="AP42" s="47"/>
      <c r="AQ42" s="47"/>
      <c r="AR42" s="47">
        <f>$AY$2+6900</f>
        <v>21800</v>
      </c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</row>
    <row r="43" spans="1:61" x14ac:dyDescent="0.15">
      <c r="A43" s="1"/>
      <c r="B43" s="1"/>
      <c r="H43" s="47">
        <v>40</v>
      </c>
      <c r="I43" s="47"/>
      <c r="J43" s="47"/>
      <c r="K43" s="47"/>
      <c r="L43" s="47"/>
      <c r="M43" s="47"/>
      <c r="N43" s="47"/>
      <c r="O43" s="47"/>
      <c r="P43" s="47"/>
      <c r="Q43" s="47" t="s">
        <v>67</v>
      </c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>
        <v>40</v>
      </c>
      <c r="AJ43" s="47"/>
      <c r="AK43" s="47"/>
      <c r="AL43" s="47"/>
      <c r="AM43" s="47"/>
      <c r="AN43" s="47"/>
      <c r="AO43" s="47"/>
      <c r="AP43" s="47"/>
      <c r="AQ43" s="47"/>
      <c r="AR43" s="47">
        <f>$AY$2+7150</f>
        <v>22050</v>
      </c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</row>
    <row r="44" spans="1:61" x14ac:dyDescent="0.15">
      <c r="A44" s="1"/>
      <c r="B44" s="1"/>
      <c r="H44" s="47">
        <v>42</v>
      </c>
      <c r="I44" s="47"/>
      <c r="J44" s="47"/>
      <c r="K44" s="47"/>
      <c r="L44" s="47"/>
      <c r="M44" s="47"/>
      <c r="N44" s="47"/>
      <c r="O44" s="47"/>
      <c r="P44" s="47"/>
      <c r="Q44" s="47" t="s">
        <v>68</v>
      </c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>
        <v>42</v>
      </c>
      <c r="AJ44" s="47"/>
      <c r="AK44" s="47"/>
      <c r="AL44" s="47"/>
      <c r="AM44" s="47"/>
      <c r="AN44" s="47"/>
      <c r="AO44" s="47"/>
      <c r="AP44" s="47"/>
      <c r="AQ44" s="47"/>
      <c r="AR44" s="47">
        <f>$AY$2+7650</f>
        <v>22550</v>
      </c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</row>
    <row r="45" spans="1:61" x14ac:dyDescent="0.15">
      <c r="A45" s="1"/>
      <c r="B45" s="1"/>
      <c r="H45" s="48">
        <v>45</v>
      </c>
      <c r="I45" s="48"/>
      <c r="J45" s="48"/>
      <c r="K45" s="48"/>
      <c r="L45" s="48"/>
      <c r="M45" s="48"/>
      <c r="N45" s="48"/>
      <c r="O45" s="48"/>
      <c r="P45" s="48"/>
      <c r="Q45" s="48" t="s">
        <v>47</v>
      </c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>
        <v>45</v>
      </c>
      <c r="AJ45" s="48"/>
      <c r="AK45" s="48"/>
      <c r="AL45" s="48"/>
      <c r="AM45" s="48"/>
      <c r="AN45" s="48"/>
      <c r="AO45" s="48"/>
      <c r="AP45" s="48"/>
      <c r="AQ45" s="48"/>
      <c r="AR45" s="48">
        <f>$AY$2+8550</f>
        <v>23450</v>
      </c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</row>
    <row r="46" spans="1:61" x14ac:dyDescent="0.15">
      <c r="A46" s="1"/>
      <c r="B46" s="1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</row>
    <row r="47" spans="1:61" x14ac:dyDescent="0.15">
      <c r="A47" s="3"/>
      <c r="B47" s="3"/>
    </row>
    <row r="48" spans="1:61" x14ac:dyDescent="0.15">
      <c r="A48" s="3"/>
      <c r="B48" s="3"/>
      <c r="G48" t="s">
        <v>56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x14ac:dyDescent="0.15">
      <c r="A49" s="3"/>
      <c r="B49" s="3"/>
      <c r="G49" s="7"/>
      <c r="H49" s="49" t="s">
        <v>20</v>
      </c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</row>
    <row r="50" spans="1:60" x14ac:dyDescent="0.15">
      <c r="A50" s="3"/>
      <c r="B50" s="3"/>
      <c r="H50" s="49" t="s">
        <v>55</v>
      </c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</row>
    <row r="51" spans="1:60" x14ac:dyDescent="0.15">
      <c r="A51" s="3"/>
      <c r="B51" s="3"/>
      <c r="H51" s="55" t="s">
        <v>57</v>
      </c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2" t="s">
        <v>22</v>
      </c>
      <c r="V51" s="53"/>
      <c r="W51" s="53"/>
      <c r="X51" s="53"/>
      <c r="Y51" s="53"/>
      <c r="Z51" s="53"/>
      <c r="AA51" s="53"/>
      <c r="AB51" s="53"/>
      <c r="AC51" s="54" t="s">
        <v>23</v>
      </c>
      <c r="AD51" s="54"/>
      <c r="AE51" s="54"/>
      <c r="AF51" s="54"/>
      <c r="AG51" s="54"/>
      <c r="AH51" s="54"/>
      <c r="AI51" s="54"/>
      <c r="AJ51" s="54"/>
      <c r="AK51" s="54" t="s">
        <v>23</v>
      </c>
      <c r="AL51" s="54"/>
      <c r="AM51" s="54"/>
      <c r="AN51" s="54"/>
      <c r="AO51" s="54"/>
      <c r="AP51" s="54"/>
      <c r="AQ51" s="54"/>
      <c r="AR51" s="54"/>
      <c r="AS51" s="54" t="s">
        <v>23</v>
      </c>
      <c r="AT51" s="54"/>
      <c r="AU51" s="54"/>
      <c r="AV51" s="54"/>
      <c r="AW51" s="54"/>
      <c r="AX51" s="54"/>
      <c r="AY51" s="54"/>
      <c r="AZ51" s="54"/>
      <c r="BA51" s="54" t="s">
        <v>23</v>
      </c>
      <c r="BB51" s="54"/>
      <c r="BC51" s="54"/>
      <c r="BD51" s="54"/>
      <c r="BE51" s="54"/>
      <c r="BF51" s="54"/>
      <c r="BG51" s="54"/>
      <c r="BH51" s="57"/>
    </row>
    <row r="52" spans="1:60" ht="13.5" customHeight="1" x14ac:dyDescent="0.15">
      <c r="A52" s="3"/>
      <c r="B52" s="3"/>
      <c r="H52" s="50" t="s">
        <v>58</v>
      </c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2" t="s">
        <v>24</v>
      </c>
      <c r="V52" s="53"/>
      <c r="W52" s="53"/>
      <c r="X52" s="53"/>
      <c r="Y52" s="53"/>
      <c r="Z52" s="53"/>
      <c r="AA52" s="53"/>
      <c r="AB52" s="53"/>
      <c r="AC52" s="54" t="s">
        <v>25</v>
      </c>
      <c r="AD52" s="54"/>
      <c r="AE52" s="54"/>
      <c r="AF52" s="54"/>
      <c r="AG52" s="54"/>
      <c r="AH52" s="54"/>
      <c r="AI52" s="54"/>
      <c r="AJ52" s="54"/>
      <c r="AK52" s="54" t="s">
        <v>26</v>
      </c>
      <c r="AL52" s="54"/>
      <c r="AM52" s="54"/>
      <c r="AN52" s="54"/>
      <c r="AO52" s="54"/>
      <c r="AP52" s="54"/>
      <c r="AQ52" s="54"/>
      <c r="AR52" s="54"/>
      <c r="AS52" s="54" t="s">
        <v>27</v>
      </c>
      <c r="AT52" s="54"/>
      <c r="AU52" s="54"/>
      <c r="AV52" s="54"/>
      <c r="AW52" s="54"/>
      <c r="AX52" s="54"/>
      <c r="AY52" s="54"/>
      <c r="AZ52" s="54"/>
      <c r="BA52" s="54" t="s">
        <v>28</v>
      </c>
      <c r="BB52" s="54"/>
      <c r="BC52" s="54"/>
      <c r="BD52" s="54"/>
      <c r="BE52" s="54"/>
      <c r="BF52" s="54"/>
      <c r="BG52" s="54"/>
      <c r="BH52" s="57"/>
    </row>
    <row r="53" spans="1:60" ht="13.5" customHeight="1" x14ac:dyDescent="0.15">
      <c r="A53" s="3"/>
      <c r="B53" s="3"/>
      <c r="H53" s="66">
        <v>39</v>
      </c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8"/>
      <c r="U53" s="58">
        <f>$AY$2+5700</f>
        <v>20600</v>
      </c>
      <c r="V53" s="59"/>
      <c r="W53" s="59"/>
      <c r="X53" s="59"/>
      <c r="Y53" s="59"/>
      <c r="Z53" s="59"/>
      <c r="AA53" s="59"/>
      <c r="AB53" s="59"/>
      <c r="AC53" s="59">
        <f>$AY$2+5900+50</f>
        <v>20850</v>
      </c>
      <c r="AD53" s="59"/>
      <c r="AE53" s="59"/>
      <c r="AF53" s="59"/>
      <c r="AG53" s="59"/>
      <c r="AH53" s="59"/>
      <c r="AI53" s="59"/>
      <c r="AJ53" s="59"/>
      <c r="AK53" s="59">
        <f>$AY$2+5900+300</f>
        <v>21100</v>
      </c>
      <c r="AL53" s="59"/>
      <c r="AM53" s="59"/>
      <c r="AN53" s="59"/>
      <c r="AO53" s="59"/>
      <c r="AP53" s="59"/>
      <c r="AQ53" s="59"/>
      <c r="AR53" s="59"/>
      <c r="AS53" s="59">
        <f>$AY$2+5900+550</f>
        <v>21350</v>
      </c>
      <c r="AT53" s="59"/>
      <c r="AU53" s="59"/>
      <c r="AV53" s="59"/>
      <c r="AW53" s="59"/>
      <c r="AX53" s="59"/>
      <c r="AY53" s="59"/>
      <c r="AZ53" s="59"/>
      <c r="BA53" s="59" t="s">
        <v>54</v>
      </c>
      <c r="BB53" s="59"/>
      <c r="BC53" s="59"/>
      <c r="BD53" s="59"/>
      <c r="BE53" s="59"/>
      <c r="BF53" s="59"/>
      <c r="BG53" s="59"/>
      <c r="BH53" s="60"/>
    </row>
    <row r="54" spans="1:60" x14ac:dyDescent="0.15">
      <c r="A54" s="3"/>
      <c r="B54" s="3"/>
      <c r="H54" s="61">
        <v>42</v>
      </c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3"/>
      <c r="U54" s="64">
        <f>$AY$2+6300</f>
        <v>21200</v>
      </c>
      <c r="V54" s="65"/>
      <c r="W54" s="65"/>
      <c r="X54" s="65"/>
      <c r="Y54" s="65"/>
      <c r="Z54" s="65"/>
      <c r="AA54" s="65"/>
      <c r="AB54" s="65"/>
      <c r="AC54" s="65">
        <f>$AY$2+6500+50</f>
        <v>21450</v>
      </c>
      <c r="AD54" s="65"/>
      <c r="AE54" s="65"/>
      <c r="AF54" s="65"/>
      <c r="AG54" s="65"/>
      <c r="AH54" s="65"/>
      <c r="AI54" s="65"/>
      <c r="AJ54" s="65"/>
      <c r="AK54" s="65">
        <f>$AY$2+6500+300</f>
        <v>21700</v>
      </c>
      <c r="AL54" s="65"/>
      <c r="AM54" s="65"/>
      <c r="AN54" s="65"/>
      <c r="AO54" s="65"/>
      <c r="AP54" s="65"/>
      <c r="AQ54" s="65"/>
      <c r="AR54" s="65"/>
      <c r="AS54" s="65">
        <f>$AY$2+6500+550</f>
        <v>21950</v>
      </c>
      <c r="AT54" s="65"/>
      <c r="AU54" s="65"/>
      <c r="AV54" s="65"/>
      <c r="AW54" s="65"/>
      <c r="AX54" s="65"/>
      <c r="AY54" s="65"/>
      <c r="AZ54" s="65"/>
      <c r="BA54" s="65">
        <f>$AY$2+6500+800</f>
        <v>22200</v>
      </c>
      <c r="BB54" s="65"/>
      <c r="BC54" s="65"/>
      <c r="BD54" s="65"/>
      <c r="BE54" s="65"/>
      <c r="BF54" s="65"/>
      <c r="BG54" s="65"/>
      <c r="BH54" s="69"/>
    </row>
    <row r="55" spans="1:60" x14ac:dyDescent="0.15">
      <c r="A55" s="3"/>
      <c r="B55" s="3"/>
      <c r="H55" s="61">
        <v>45</v>
      </c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3"/>
      <c r="U55" s="64">
        <f>$AY$2+7300</f>
        <v>22200</v>
      </c>
      <c r="V55" s="65"/>
      <c r="W55" s="65"/>
      <c r="X55" s="65"/>
      <c r="Y55" s="65"/>
      <c r="Z55" s="65"/>
      <c r="AA55" s="65"/>
      <c r="AB55" s="65"/>
      <c r="AC55" s="65">
        <f>$AY$2+6900+650</f>
        <v>22450</v>
      </c>
      <c r="AD55" s="65"/>
      <c r="AE55" s="65"/>
      <c r="AF55" s="65"/>
      <c r="AG55" s="65"/>
      <c r="AH55" s="65"/>
      <c r="AI55" s="65"/>
      <c r="AJ55" s="65"/>
      <c r="AK55" s="65">
        <f>$AY$2+6900+900</f>
        <v>22700</v>
      </c>
      <c r="AL55" s="65"/>
      <c r="AM55" s="65"/>
      <c r="AN55" s="65"/>
      <c r="AO55" s="65"/>
      <c r="AP55" s="65"/>
      <c r="AQ55" s="65"/>
      <c r="AR55" s="65"/>
      <c r="AS55" s="65">
        <f>$AY$2+6900+1150</f>
        <v>22950</v>
      </c>
      <c r="AT55" s="65"/>
      <c r="AU55" s="65"/>
      <c r="AV55" s="65"/>
      <c r="AW55" s="65"/>
      <c r="AX55" s="65"/>
      <c r="AY55" s="65"/>
      <c r="AZ55" s="65"/>
      <c r="BA55" s="65">
        <f>$AY$2+6900+1400</f>
        <v>23200</v>
      </c>
      <c r="BB55" s="65"/>
      <c r="BC55" s="65"/>
      <c r="BD55" s="65"/>
      <c r="BE55" s="65"/>
      <c r="BF55" s="65"/>
      <c r="BG55" s="65"/>
      <c r="BH55" s="69"/>
    </row>
    <row r="56" spans="1:60" x14ac:dyDescent="0.15">
      <c r="A56" s="3"/>
      <c r="B56" s="3"/>
      <c r="H56" s="61">
        <v>48</v>
      </c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3"/>
      <c r="U56" s="64">
        <f>$AY$2+8100</f>
        <v>23000</v>
      </c>
      <c r="V56" s="65"/>
      <c r="W56" s="65"/>
      <c r="X56" s="65"/>
      <c r="Y56" s="65"/>
      <c r="Z56" s="65"/>
      <c r="AA56" s="65"/>
      <c r="AB56" s="65"/>
      <c r="AC56" s="65">
        <f>$AY$2+7700+650</f>
        <v>23250</v>
      </c>
      <c r="AD56" s="65"/>
      <c r="AE56" s="65"/>
      <c r="AF56" s="65"/>
      <c r="AG56" s="65"/>
      <c r="AH56" s="65"/>
      <c r="AI56" s="65"/>
      <c r="AJ56" s="65"/>
      <c r="AK56" s="65">
        <f>$AY$2+7700+900</f>
        <v>23500</v>
      </c>
      <c r="AL56" s="65"/>
      <c r="AM56" s="65"/>
      <c r="AN56" s="65"/>
      <c r="AO56" s="65"/>
      <c r="AP56" s="65"/>
      <c r="AQ56" s="65"/>
      <c r="AR56" s="65"/>
      <c r="AS56" s="65">
        <f>$AY$2+7700+1150</f>
        <v>23750</v>
      </c>
      <c r="AT56" s="65"/>
      <c r="AU56" s="65"/>
      <c r="AV56" s="65"/>
      <c r="AW56" s="65"/>
      <c r="AX56" s="65"/>
      <c r="AY56" s="65"/>
      <c r="AZ56" s="65"/>
      <c r="BA56" s="65">
        <f>$AY$2+7700+1400</f>
        <v>24000</v>
      </c>
      <c r="BB56" s="65"/>
      <c r="BC56" s="65"/>
      <c r="BD56" s="65"/>
      <c r="BE56" s="65"/>
      <c r="BF56" s="65"/>
      <c r="BG56" s="65"/>
      <c r="BH56" s="69"/>
    </row>
    <row r="57" spans="1:60" x14ac:dyDescent="0.15">
      <c r="A57" s="3"/>
      <c r="B57" s="3"/>
      <c r="H57" s="61">
        <v>51</v>
      </c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3"/>
      <c r="U57" s="64">
        <f>$AY$2+9200</f>
        <v>24100</v>
      </c>
      <c r="V57" s="65"/>
      <c r="W57" s="65"/>
      <c r="X57" s="65"/>
      <c r="Y57" s="65"/>
      <c r="Z57" s="65"/>
      <c r="AA57" s="65"/>
      <c r="AB57" s="65"/>
      <c r="AC57" s="65">
        <f>$AY$2+8800+700</f>
        <v>24400</v>
      </c>
      <c r="AD57" s="65"/>
      <c r="AE57" s="65"/>
      <c r="AF57" s="65"/>
      <c r="AG57" s="65"/>
      <c r="AH57" s="65"/>
      <c r="AI57" s="65"/>
      <c r="AJ57" s="65"/>
      <c r="AK57" s="65">
        <f>$AY$2+8800+1000</f>
        <v>24700</v>
      </c>
      <c r="AL57" s="65"/>
      <c r="AM57" s="65"/>
      <c r="AN57" s="65"/>
      <c r="AO57" s="65"/>
      <c r="AP57" s="65"/>
      <c r="AQ57" s="65"/>
      <c r="AR57" s="65"/>
      <c r="AS57" s="65">
        <f>$AY$2+8800+1300</f>
        <v>25000</v>
      </c>
      <c r="AT57" s="65"/>
      <c r="AU57" s="65"/>
      <c r="AV57" s="65"/>
      <c r="AW57" s="65"/>
      <c r="AX57" s="65"/>
      <c r="AY57" s="65"/>
      <c r="AZ57" s="65"/>
      <c r="BA57" s="65">
        <f>$AY$2+8800+1600</f>
        <v>25300</v>
      </c>
      <c r="BB57" s="65"/>
      <c r="BC57" s="65"/>
      <c r="BD57" s="65"/>
      <c r="BE57" s="65"/>
      <c r="BF57" s="65"/>
      <c r="BG57" s="65"/>
      <c r="BH57" s="69"/>
    </row>
    <row r="58" spans="1:60" x14ac:dyDescent="0.15">
      <c r="A58" s="3"/>
      <c r="B58" s="1"/>
      <c r="H58" s="61">
        <v>54</v>
      </c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3"/>
      <c r="U58" s="64">
        <f>$AY$2+10200</f>
        <v>25100</v>
      </c>
      <c r="V58" s="65"/>
      <c r="W58" s="65"/>
      <c r="X58" s="65"/>
      <c r="Y58" s="65"/>
      <c r="Z58" s="65"/>
      <c r="AA58" s="65"/>
      <c r="AB58" s="65"/>
      <c r="AC58" s="65">
        <f>$AY$2+9800+700</f>
        <v>25400</v>
      </c>
      <c r="AD58" s="65"/>
      <c r="AE58" s="65"/>
      <c r="AF58" s="65"/>
      <c r="AG58" s="65"/>
      <c r="AH58" s="65"/>
      <c r="AI58" s="65"/>
      <c r="AJ58" s="65"/>
      <c r="AK58" s="65">
        <f>$AY$2+9800+1000</f>
        <v>25700</v>
      </c>
      <c r="AL58" s="65"/>
      <c r="AM58" s="65"/>
      <c r="AN58" s="65"/>
      <c r="AO58" s="65"/>
      <c r="AP58" s="65"/>
      <c r="AQ58" s="65"/>
      <c r="AR58" s="65"/>
      <c r="AS58" s="65">
        <f>$AY$2+9800+1300</f>
        <v>26000</v>
      </c>
      <c r="AT58" s="65"/>
      <c r="AU58" s="65"/>
      <c r="AV58" s="65"/>
      <c r="AW58" s="65"/>
      <c r="AX58" s="65"/>
      <c r="AY58" s="65"/>
      <c r="AZ58" s="65"/>
      <c r="BA58" s="65">
        <f>$AY$2+9800+1600</f>
        <v>26300</v>
      </c>
      <c r="BB58" s="65"/>
      <c r="BC58" s="65"/>
      <c r="BD58" s="65"/>
      <c r="BE58" s="65"/>
      <c r="BF58" s="65"/>
      <c r="BG58" s="65"/>
      <c r="BH58" s="69"/>
    </row>
    <row r="59" spans="1:60" x14ac:dyDescent="0.15">
      <c r="A59" s="3"/>
      <c r="B59" s="3"/>
      <c r="H59" s="61">
        <v>57</v>
      </c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3"/>
      <c r="U59" s="64">
        <f>$AY$2+11200</f>
        <v>26100</v>
      </c>
      <c r="V59" s="65"/>
      <c r="W59" s="65"/>
      <c r="X59" s="65"/>
      <c r="Y59" s="65"/>
      <c r="Z59" s="65"/>
      <c r="AA59" s="65"/>
      <c r="AB59" s="65"/>
      <c r="AC59" s="65">
        <f>$AY$2+10800+700</f>
        <v>26400</v>
      </c>
      <c r="AD59" s="65"/>
      <c r="AE59" s="65"/>
      <c r="AF59" s="65"/>
      <c r="AG59" s="65"/>
      <c r="AH59" s="65"/>
      <c r="AI59" s="65"/>
      <c r="AJ59" s="65"/>
      <c r="AK59" s="65">
        <f>$AY$2+10800+1000</f>
        <v>26700</v>
      </c>
      <c r="AL59" s="65"/>
      <c r="AM59" s="65"/>
      <c r="AN59" s="65"/>
      <c r="AO59" s="65"/>
      <c r="AP59" s="65"/>
      <c r="AQ59" s="65"/>
      <c r="AR59" s="65"/>
      <c r="AS59" s="65">
        <f>$AY$2+10800+1300</f>
        <v>27000</v>
      </c>
      <c r="AT59" s="65"/>
      <c r="AU59" s="65"/>
      <c r="AV59" s="65"/>
      <c r="AW59" s="65"/>
      <c r="AX59" s="65"/>
      <c r="AY59" s="65"/>
      <c r="AZ59" s="65"/>
      <c r="BA59" s="65">
        <f>$AY$2+10800+1600</f>
        <v>27300</v>
      </c>
      <c r="BB59" s="65"/>
      <c r="BC59" s="65"/>
      <c r="BD59" s="65"/>
      <c r="BE59" s="65"/>
      <c r="BF59" s="65"/>
      <c r="BG59" s="65"/>
      <c r="BH59" s="69"/>
    </row>
    <row r="60" spans="1:60" x14ac:dyDescent="0.15">
      <c r="A60" s="3"/>
      <c r="B60" s="3"/>
      <c r="H60" s="70">
        <v>60</v>
      </c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2"/>
      <c r="U60" s="73">
        <f>$AY$2+11950</f>
        <v>26850</v>
      </c>
      <c r="V60" s="74"/>
      <c r="W60" s="74"/>
      <c r="X60" s="74"/>
      <c r="Y60" s="74"/>
      <c r="Z60" s="74"/>
      <c r="AA60" s="74"/>
      <c r="AB60" s="74"/>
      <c r="AC60" s="74">
        <f>$AY$2+11600+650</f>
        <v>27150</v>
      </c>
      <c r="AD60" s="74"/>
      <c r="AE60" s="74"/>
      <c r="AF60" s="74"/>
      <c r="AG60" s="74"/>
      <c r="AH60" s="74"/>
      <c r="AI60" s="74"/>
      <c r="AJ60" s="74"/>
      <c r="AK60" s="74">
        <f>$AY$2+11600+950</f>
        <v>27450</v>
      </c>
      <c r="AL60" s="74"/>
      <c r="AM60" s="74"/>
      <c r="AN60" s="74"/>
      <c r="AO60" s="74"/>
      <c r="AP60" s="74"/>
      <c r="AQ60" s="74"/>
      <c r="AR60" s="74"/>
      <c r="AS60" s="74">
        <f>$AY$2+11600+1250</f>
        <v>27750</v>
      </c>
      <c r="AT60" s="74"/>
      <c r="AU60" s="74"/>
      <c r="AV60" s="74"/>
      <c r="AW60" s="74"/>
      <c r="AX60" s="74"/>
      <c r="AY60" s="74"/>
      <c r="AZ60" s="74"/>
      <c r="BA60" s="74">
        <f>$AY$2+11600+1550</f>
        <v>28050</v>
      </c>
      <c r="BB60" s="74"/>
      <c r="BC60" s="74"/>
      <c r="BD60" s="74"/>
      <c r="BE60" s="74"/>
      <c r="BF60" s="74"/>
      <c r="BG60" s="74"/>
      <c r="BH60" s="75"/>
    </row>
    <row r="61" spans="1:60" x14ac:dyDescent="0.15">
      <c r="A61" s="3"/>
      <c r="B61" s="3"/>
    </row>
    <row r="62" spans="1:60" ht="13.5" customHeight="1" x14ac:dyDescent="0.15">
      <c r="A62" s="3"/>
      <c r="B62" s="3"/>
      <c r="H62" s="49" t="s">
        <v>31</v>
      </c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</row>
    <row r="63" spans="1:60" ht="13.5" customHeight="1" x14ac:dyDescent="0.15">
      <c r="A63" s="3"/>
      <c r="B63" s="3"/>
      <c r="H63" s="49" t="s">
        <v>21</v>
      </c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</row>
    <row r="64" spans="1:60" ht="13.5" customHeight="1" x14ac:dyDescent="0.15">
      <c r="A64" s="3"/>
      <c r="B64" s="3"/>
      <c r="H64" s="77" t="s">
        <v>29</v>
      </c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52" t="s">
        <v>22</v>
      </c>
      <c r="V64" s="53"/>
      <c r="W64" s="53"/>
      <c r="X64" s="53"/>
      <c r="Y64" s="53"/>
      <c r="Z64" s="53"/>
      <c r="AA64" s="53"/>
      <c r="AB64" s="53"/>
      <c r="AC64" s="54" t="s">
        <v>23</v>
      </c>
      <c r="AD64" s="54"/>
      <c r="AE64" s="54"/>
      <c r="AF64" s="54"/>
      <c r="AG64" s="54"/>
      <c r="AH64" s="54"/>
      <c r="AI64" s="54"/>
      <c r="AJ64" s="54"/>
      <c r="AK64" s="54" t="s">
        <v>23</v>
      </c>
      <c r="AL64" s="54"/>
      <c r="AM64" s="54"/>
      <c r="AN64" s="54"/>
      <c r="AO64" s="54"/>
      <c r="AP64" s="54"/>
      <c r="AQ64" s="54"/>
      <c r="AR64" s="54"/>
      <c r="AS64" s="54" t="s">
        <v>23</v>
      </c>
      <c r="AT64" s="54"/>
      <c r="AU64" s="54"/>
      <c r="AV64" s="54"/>
      <c r="AW64" s="54"/>
      <c r="AX64" s="54"/>
      <c r="AY64" s="54"/>
      <c r="AZ64" s="54"/>
      <c r="BA64" s="54" t="s">
        <v>23</v>
      </c>
      <c r="BB64" s="54"/>
      <c r="BC64" s="54"/>
      <c r="BD64" s="54"/>
      <c r="BE64" s="54"/>
      <c r="BF64" s="54"/>
      <c r="BG64" s="54"/>
      <c r="BH64" s="57"/>
    </row>
    <row r="65" spans="1:61" ht="13.5" customHeight="1" x14ac:dyDescent="0.15">
      <c r="A65" s="3"/>
      <c r="B65" s="3"/>
      <c r="H65" s="76" t="s">
        <v>30</v>
      </c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52" t="s">
        <v>24</v>
      </c>
      <c r="V65" s="53"/>
      <c r="W65" s="53"/>
      <c r="X65" s="53"/>
      <c r="Y65" s="53"/>
      <c r="Z65" s="53"/>
      <c r="AA65" s="53"/>
      <c r="AB65" s="53"/>
      <c r="AC65" s="54" t="s">
        <v>25</v>
      </c>
      <c r="AD65" s="54"/>
      <c r="AE65" s="54"/>
      <c r="AF65" s="54"/>
      <c r="AG65" s="54"/>
      <c r="AH65" s="54"/>
      <c r="AI65" s="54"/>
      <c r="AJ65" s="54"/>
      <c r="AK65" s="54" t="s">
        <v>26</v>
      </c>
      <c r="AL65" s="54"/>
      <c r="AM65" s="54"/>
      <c r="AN65" s="54"/>
      <c r="AO65" s="54"/>
      <c r="AP65" s="54"/>
      <c r="AQ65" s="54"/>
      <c r="AR65" s="54"/>
      <c r="AS65" s="54" t="s">
        <v>27</v>
      </c>
      <c r="AT65" s="54"/>
      <c r="AU65" s="54"/>
      <c r="AV65" s="54"/>
      <c r="AW65" s="54"/>
      <c r="AX65" s="54"/>
      <c r="AY65" s="54"/>
      <c r="AZ65" s="54"/>
      <c r="BA65" s="54" t="s">
        <v>28</v>
      </c>
      <c r="BB65" s="54"/>
      <c r="BC65" s="54"/>
      <c r="BD65" s="54"/>
      <c r="BE65" s="54"/>
      <c r="BF65" s="54"/>
      <c r="BG65" s="54"/>
      <c r="BH65" s="57"/>
    </row>
    <row r="66" spans="1:61" ht="14.25" customHeight="1" x14ac:dyDescent="0.15">
      <c r="A66" s="3"/>
      <c r="B66" s="3"/>
      <c r="H66" s="80">
        <v>39</v>
      </c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1">
        <f>$AY$2+7100</f>
        <v>22000</v>
      </c>
      <c r="V66" s="59"/>
      <c r="W66" s="59"/>
      <c r="X66" s="59"/>
      <c r="Y66" s="59"/>
      <c r="Z66" s="59"/>
      <c r="AA66" s="59"/>
      <c r="AB66" s="59"/>
      <c r="AC66" s="59">
        <f>$AY$2+7300+50</f>
        <v>22250</v>
      </c>
      <c r="AD66" s="59"/>
      <c r="AE66" s="59"/>
      <c r="AF66" s="59"/>
      <c r="AG66" s="59"/>
      <c r="AH66" s="59"/>
      <c r="AI66" s="59"/>
      <c r="AJ66" s="59"/>
      <c r="AK66" s="59">
        <f>$AY$2+7300+300</f>
        <v>22500</v>
      </c>
      <c r="AL66" s="59"/>
      <c r="AM66" s="59"/>
      <c r="AN66" s="59"/>
      <c r="AO66" s="59"/>
      <c r="AP66" s="59"/>
      <c r="AQ66" s="59"/>
      <c r="AR66" s="59"/>
      <c r="AS66" s="59">
        <f>$AY$2+7300+550</f>
        <v>22750</v>
      </c>
      <c r="AT66" s="59"/>
      <c r="AU66" s="59"/>
      <c r="AV66" s="59"/>
      <c r="AW66" s="59"/>
      <c r="AX66" s="59"/>
      <c r="AY66" s="59"/>
      <c r="AZ66" s="59"/>
      <c r="BA66" s="59">
        <f>$AY$2+7300+800</f>
        <v>23000</v>
      </c>
      <c r="BB66" s="59"/>
      <c r="BC66" s="59"/>
      <c r="BD66" s="59"/>
      <c r="BE66" s="59"/>
      <c r="BF66" s="59"/>
      <c r="BG66" s="59"/>
      <c r="BH66" s="60"/>
    </row>
    <row r="67" spans="1:61" x14ac:dyDescent="0.15">
      <c r="A67" s="3"/>
      <c r="B67" s="3"/>
      <c r="H67" s="78">
        <v>42</v>
      </c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9">
        <f>$AY$2+7700</f>
        <v>22600</v>
      </c>
      <c r="V67" s="65"/>
      <c r="W67" s="65"/>
      <c r="X67" s="65"/>
      <c r="Y67" s="65"/>
      <c r="Z67" s="65"/>
      <c r="AA67" s="65"/>
      <c r="AB67" s="65"/>
      <c r="AC67" s="65">
        <f>$AY$2+7900+50</f>
        <v>22850</v>
      </c>
      <c r="AD67" s="65"/>
      <c r="AE67" s="65"/>
      <c r="AF67" s="65"/>
      <c r="AG67" s="65"/>
      <c r="AH67" s="65"/>
      <c r="AI67" s="65"/>
      <c r="AJ67" s="65"/>
      <c r="AK67" s="65">
        <f>$AY$2+7900+300</f>
        <v>23100</v>
      </c>
      <c r="AL67" s="65"/>
      <c r="AM67" s="65"/>
      <c r="AN67" s="65"/>
      <c r="AO67" s="65"/>
      <c r="AP67" s="65"/>
      <c r="AQ67" s="65"/>
      <c r="AR67" s="65"/>
      <c r="AS67" s="65">
        <f>$AY$2+7900+550</f>
        <v>23350</v>
      </c>
      <c r="AT67" s="65"/>
      <c r="AU67" s="65"/>
      <c r="AV67" s="65"/>
      <c r="AW67" s="65"/>
      <c r="AX67" s="65"/>
      <c r="AY67" s="65"/>
      <c r="AZ67" s="65"/>
      <c r="BA67" s="65">
        <f>$AY$2+7900+800</f>
        <v>23600</v>
      </c>
      <c r="BB67" s="65"/>
      <c r="BC67" s="65"/>
      <c r="BD67" s="65"/>
      <c r="BE67" s="65"/>
      <c r="BF67" s="65"/>
      <c r="BG67" s="65"/>
      <c r="BH67" s="69"/>
    </row>
    <row r="68" spans="1:61" x14ac:dyDescent="0.15">
      <c r="A68" s="3"/>
      <c r="B68" s="3"/>
      <c r="H68" s="78">
        <v>45</v>
      </c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9">
        <f>$AY$2+8300</f>
        <v>23200</v>
      </c>
      <c r="V68" s="65"/>
      <c r="W68" s="65"/>
      <c r="X68" s="65"/>
      <c r="Y68" s="65"/>
      <c r="Z68" s="65"/>
      <c r="AA68" s="65"/>
      <c r="AB68" s="65"/>
      <c r="AC68" s="65">
        <f>$AY$2+8300+250</f>
        <v>23450</v>
      </c>
      <c r="AD68" s="65"/>
      <c r="AE68" s="65"/>
      <c r="AF68" s="65"/>
      <c r="AG68" s="65"/>
      <c r="AH68" s="65"/>
      <c r="AI68" s="65"/>
      <c r="AJ68" s="65"/>
      <c r="AK68" s="65">
        <f>$AY$2+8300+500</f>
        <v>23700</v>
      </c>
      <c r="AL68" s="65"/>
      <c r="AM68" s="65"/>
      <c r="AN68" s="65"/>
      <c r="AO68" s="65"/>
      <c r="AP68" s="65"/>
      <c r="AQ68" s="65"/>
      <c r="AR68" s="65"/>
      <c r="AS68" s="65">
        <f>$AY$2+8300+750</f>
        <v>23950</v>
      </c>
      <c r="AT68" s="65"/>
      <c r="AU68" s="65"/>
      <c r="AV68" s="65"/>
      <c r="AW68" s="65"/>
      <c r="AX68" s="65"/>
      <c r="AY68" s="65"/>
      <c r="AZ68" s="65"/>
      <c r="BA68" s="65">
        <f>$AY$2+8300+1000</f>
        <v>24200</v>
      </c>
      <c r="BB68" s="65"/>
      <c r="BC68" s="65"/>
      <c r="BD68" s="65"/>
      <c r="BE68" s="65"/>
      <c r="BF68" s="65"/>
      <c r="BG68" s="65"/>
      <c r="BH68" s="69"/>
    </row>
    <row r="69" spans="1:61" x14ac:dyDescent="0.15">
      <c r="A69" s="3"/>
      <c r="B69" s="3"/>
      <c r="H69" s="78">
        <v>48</v>
      </c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9">
        <f>$AY$2+9100</f>
        <v>24000</v>
      </c>
      <c r="V69" s="65"/>
      <c r="W69" s="65"/>
      <c r="X69" s="65"/>
      <c r="Y69" s="65"/>
      <c r="Z69" s="65"/>
      <c r="AA69" s="65"/>
      <c r="AB69" s="65"/>
      <c r="AC69" s="65">
        <f>$AY$2+8700+650</f>
        <v>24250</v>
      </c>
      <c r="AD69" s="65"/>
      <c r="AE69" s="65"/>
      <c r="AF69" s="65"/>
      <c r="AG69" s="65"/>
      <c r="AH69" s="65"/>
      <c r="AI69" s="65"/>
      <c r="AJ69" s="65"/>
      <c r="AK69" s="65">
        <f>$AY$2+8700+900</f>
        <v>24500</v>
      </c>
      <c r="AL69" s="65"/>
      <c r="AM69" s="65"/>
      <c r="AN69" s="65"/>
      <c r="AO69" s="65"/>
      <c r="AP69" s="65"/>
      <c r="AQ69" s="65"/>
      <c r="AR69" s="65"/>
      <c r="AS69" s="65">
        <f>$AY$2+8700+1150</f>
        <v>24750</v>
      </c>
      <c r="AT69" s="65"/>
      <c r="AU69" s="65"/>
      <c r="AV69" s="65"/>
      <c r="AW69" s="65"/>
      <c r="AX69" s="65"/>
      <c r="AY69" s="65"/>
      <c r="AZ69" s="65"/>
      <c r="BA69" s="65">
        <f>$AY$2+8700+1400</f>
        <v>25000</v>
      </c>
      <c r="BB69" s="65"/>
      <c r="BC69" s="65"/>
      <c r="BD69" s="65"/>
      <c r="BE69" s="65"/>
      <c r="BF69" s="65"/>
      <c r="BG69" s="65"/>
      <c r="BH69" s="69"/>
    </row>
    <row r="70" spans="1:61" x14ac:dyDescent="0.15">
      <c r="A70" s="3"/>
      <c r="B70" s="3"/>
      <c r="H70" s="78">
        <v>51</v>
      </c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9">
        <f>$AY$2+10200</f>
        <v>25100</v>
      </c>
      <c r="V70" s="65"/>
      <c r="W70" s="65"/>
      <c r="X70" s="65"/>
      <c r="Y70" s="65"/>
      <c r="Z70" s="65"/>
      <c r="AA70" s="65"/>
      <c r="AB70" s="65"/>
      <c r="AC70" s="65">
        <f>$AY$2+9800+650</f>
        <v>25350</v>
      </c>
      <c r="AD70" s="65"/>
      <c r="AE70" s="65"/>
      <c r="AF70" s="65"/>
      <c r="AG70" s="65"/>
      <c r="AH70" s="65"/>
      <c r="AI70" s="65"/>
      <c r="AJ70" s="65"/>
      <c r="AK70" s="65">
        <f>$AY$2+9800+900</f>
        <v>25600</v>
      </c>
      <c r="AL70" s="65"/>
      <c r="AM70" s="65"/>
      <c r="AN70" s="65"/>
      <c r="AO70" s="65"/>
      <c r="AP70" s="65"/>
      <c r="AQ70" s="65"/>
      <c r="AR70" s="65"/>
      <c r="AS70" s="65">
        <f>$AY$2+9800+1150</f>
        <v>25850</v>
      </c>
      <c r="AT70" s="65"/>
      <c r="AU70" s="65"/>
      <c r="AV70" s="65"/>
      <c r="AW70" s="65"/>
      <c r="AX70" s="65"/>
      <c r="AY70" s="65"/>
      <c r="AZ70" s="65"/>
      <c r="BA70" s="65">
        <f>$AY$2+9800+1400</f>
        <v>26100</v>
      </c>
      <c r="BB70" s="65"/>
      <c r="BC70" s="65"/>
      <c r="BD70" s="65"/>
      <c r="BE70" s="65"/>
      <c r="BF70" s="65"/>
      <c r="BG70" s="65"/>
      <c r="BH70" s="69"/>
    </row>
    <row r="71" spans="1:61" x14ac:dyDescent="0.15">
      <c r="A71" s="3"/>
      <c r="B71" s="3"/>
      <c r="H71" s="78">
        <v>54</v>
      </c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9">
        <f>$AY$2+11100</f>
        <v>26000</v>
      </c>
      <c r="V71" s="65"/>
      <c r="W71" s="65"/>
      <c r="X71" s="65"/>
      <c r="Y71" s="65"/>
      <c r="Z71" s="65"/>
      <c r="AA71" s="65"/>
      <c r="AB71" s="65"/>
      <c r="AC71" s="65">
        <f>$AY$2+10800+700</f>
        <v>26400</v>
      </c>
      <c r="AD71" s="65"/>
      <c r="AE71" s="65"/>
      <c r="AF71" s="65"/>
      <c r="AG71" s="65"/>
      <c r="AH71" s="65"/>
      <c r="AI71" s="65"/>
      <c r="AJ71" s="65"/>
      <c r="AK71" s="65">
        <f>$AY$2+10800+1000</f>
        <v>26700</v>
      </c>
      <c r="AL71" s="65"/>
      <c r="AM71" s="65"/>
      <c r="AN71" s="65"/>
      <c r="AO71" s="65"/>
      <c r="AP71" s="65"/>
      <c r="AQ71" s="65"/>
      <c r="AR71" s="65"/>
      <c r="AS71" s="65">
        <f>$AY$2+10800+1300</f>
        <v>27000</v>
      </c>
      <c r="AT71" s="65"/>
      <c r="AU71" s="65"/>
      <c r="AV71" s="65"/>
      <c r="AW71" s="65"/>
      <c r="AX71" s="65"/>
      <c r="AY71" s="65"/>
      <c r="AZ71" s="65"/>
      <c r="BA71" s="65">
        <f>$AY$2+10800+1600</f>
        <v>27300</v>
      </c>
      <c r="BB71" s="65"/>
      <c r="BC71" s="65"/>
      <c r="BD71" s="65"/>
      <c r="BE71" s="65"/>
      <c r="BF71" s="65"/>
      <c r="BG71" s="65"/>
      <c r="BH71" s="69"/>
    </row>
    <row r="72" spans="1:61" x14ac:dyDescent="0.15">
      <c r="A72" s="3"/>
      <c r="B72" s="3"/>
      <c r="H72" s="78">
        <v>57</v>
      </c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9">
        <f>$AY$2+12200</f>
        <v>27100</v>
      </c>
      <c r="V72" s="65"/>
      <c r="W72" s="65"/>
      <c r="X72" s="65"/>
      <c r="Y72" s="65"/>
      <c r="Z72" s="65"/>
      <c r="AA72" s="65"/>
      <c r="AB72" s="65"/>
      <c r="AC72" s="65">
        <f>$AY$2+11800+700</f>
        <v>27400</v>
      </c>
      <c r="AD72" s="65"/>
      <c r="AE72" s="65"/>
      <c r="AF72" s="65"/>
      <c r="AG72" s="65"/>
      <c r="AH72" s="65"/>
      <c r="AI72" s="65"/>
      <c r="AJ72" s="65"/>
      <c r="AK72" s="65">
        <f>$AY$2+11800+1000</f>
        <v>27700</v>
      </c>
      <c r="AL72" s="65"/>
      <c r="AM72" s="65"/>
      <c r="AN72" s="65"/>
      <c r="AO72" s="65"/>
      <c r="AP72" s="65"/>
      <c r="AQ72" s="65"/>
      <c r="AR72" s="65"/>
      <c r="AS72" s="65">
        <f>$AY$2+11800+1300</f>
        <v>28000</v>
      </c>
      <c r="AT72" s="65"/>
      <c r="AU72" s="65"/>
      <c r="AV72" s="65"/>
      <c r="AW72" s="65"/>
      <c r="AX72" s="65"/>
      <c r="AY72" s="65"/>
      <c r="AZ72" s="65"/>
      <c r="BA72" s="65">
        <f>$AY$2+11800+1600</f>
        <v>28300</v>
      </c>
      <c r="BB72" s="65"/>
      <c r="BC72" s="65"/>
      <c r="BD72" s="65"/>
      <c r="BE72" s="65"/>
      <c r="BF72" s="65"/>
      <c r="BG72" s="65"/>
      <c r="BH72" s="69"/>
    </row>
    <row r="73" spans="1:61" x14ac:dyDescent="0.15">
      <c r="A73" s="3"/>
      <c r="B73" s="3"/>
      <c r="H73" s="82">
        <v>60</v>
      </c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3">
        <f>$AY$2+13350</f>
        <v>28250</v>
      </c>
      <c r="V73" s="74"/>
      <c r="W73" s="74"/>
      <c r="X73" s="74"/>
      <c r="Y73" s="74"/>
      <c r="Z73" s="74"/>
      <c r="AA73" s="74"/>
      <c r="AB73" s="74"/>
      <c r="AC73" s="74">
        <f>$AY$2+13000+650</f>
        <v>28550</v>
      </c>
      <c r="AD73" s="74"/>
      <c r="AE73" s="74"/>
      <c r="AF73" s="74"/>
      <c r="AG73" s="74"/>
      <c r="AH73" s="74"/>
      <c r="AI73" s="74"/>
      <c r="AJ73" s="74"/>
      <c r="AK73" s="74">
        <f>$AY$2+13000+950</f>
        <v>28850</v>
      </c>
      <c r="AL73" s="74"/>
      <c r="AM73" s="74"/>
      <c r="AN73" s="74"/>
      <c r="AO73" s="74"/>
      <c r="AP73" s="74"/>
      <c r="AQ73" s="74"/>
      <c r="AR73" s="74"/>
      <c r="AS73" s="74">
        <f>$AY$2+13000+1250</f>
        <v>29150</v>
      </c>
      <c r="AT73" s="74"/>
      <c r="AU73" s="74"/>
      <c r="AV73" s="74"/>
      <c r="AW73" s="74"/>
      <c r="AX73" s="74"/>
      <c r="AY73" s="74"/>
      <c r="AZ73" s="74"/>
      <c r="BA73" s="74">
        <f>$AY$2+13000+1550</f>
        <v>29450</v>
      </c>
      <c r="BB73" s="74"/>
      <c r="BC73" s="74"/>
      <c r="BD73" s="74"/>
      <c r="BE73" s="74"/>
      <c r="BF73" s="74"/>
      <c r="BG73" s="74"/>
      <c r="BH73" s="75"/>
    </row>
    <row r="74" spans="1:61" x14ac:dyDescent="0.15">
      <c r="A74" s="3"/>
      <c r="B74" s="3"/>
    </row>
    <row r="75" spans="1:61" ht="17.25" customHeight="1" x14ac:dyDescent="0.15">
      <c r="A75" s="1"/>
      <c r="B75" s="1"/>
      <c r="G75" s="13" t="s">
        <v>84</v>
      </c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</row>
    <row r="76" spans="1:61" ht="17.25" customHeight="1" x14ac:dyDescent="0.15">
      <c r="A76" s="1"/>
      <c r="B76" s="1"/>
      <c r="G76" s="10"/>
      <c r="H76" s="10"/>
      <c r="I76" s="10" t="s">
        <v>48</v>
      </c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</row>
    <row r="77" spans="1:61" ht="17.25" customHeight="1" x14ac:dyDescent="0.15">
      <c r="A77" s="1"/>
      <c r="B77" s="1"/>
      <c r="H77" s="129" t="s">
        <v>69</v>
      </c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1"/>
      <c r="AI77" s="129" t="s">
        <v>70</v>
      </c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  <c r="BH77" s="130"/>
      <c r="BI77" s="132"/>
    </row>
    <row r="78" spans="1:61" ht="17.25" customHeight="1" x14ac:dyDescent="0.15">
      <c r="A78" s="1"/>
      <c r="B78" s="1"/>
      <c r="H78" s="133" t="s">
        <v>71</v>
      </c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5"/>
      <c r="AI78" s="133" t="s">
        <v>72</v>
      </c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6"/>
    </row>
    <row r="79" spans="1:61" ht="17.25" customHeight="1" x14ac:dyDescent="0.15">
      <c r="A79" s="1"/>
      <c r="B79" s="1"/>
      <c r="H79" s="137" t="s">
        <v>73</v>
      </c>
      <c r="I79" s="138"/>
      <c r="J79" s="138"/>
      <c r="K79" s="138"/>
      <c r="L79" s="138"/>
      <c r="M79" s="138"/>
      <c r="N79" s="138"/>
      <c r="O79" s="138"/>
      <c r="P79" s="138"/>
      <c r="Q79" s="138" t="s">
        <v>74</v>
      </c>
      <c r="R79" s="138"/>
      <c r="S79" s="138"/>
      <c r="T79" s="138"/>
      <c r="U79" s="138"/>
      <c r="V79" s="138"/>
      <c r="W79" s="138"/>
      <c r="X79" s="138"/>
      <c r="Y79" s="139"/>
      <c r="Z79" s="140">
        <f>$AY$2+1800</f>
        <v>16700</v>
      </c>
      <c r="AA79" s="141"/>
      <c r="AB79" s="141"/>
      <c r="AC79" s="141"/>
      <c r="AD79" s="141"/>
      <c r="AE79" s="141"/>
      <c r="AF79" s="141"/>
      <c r="AG79" s="141"/>
      <c r="AH79" s="142"/>
      <c r="AI79" s="137" t="s">
        <v>75</v>
      </c>
      <c r="AJ79" s="138"/>
      <c r="AK79" s="138"/>
      <c r="AL79" s="138"/>
      <c r="AM79" s="138"/>
      <c r="AN79" s="138"/>
      <c r="AO79" s="138"/>
      <c r="AP79" s="138"/>
      <c r="AQ79" s="138"/>
      <c r="AR79" s="138" t="s">
        <v>76</v>
      </c>
      <c r="AS79" s="138"/>
      <c r="AT79" s="138"/>
      <c r="AU79" s="138"/>
      <c r="AV79" s="138"/>
      <c r="AW79" s="138"/>
      <c r="AX79" s="138"/>
      <c r="AY79" s="138"/>
      <c r="AZ79" s="139"/>
      <c r="BA79" s="140">
        <f>$AY$2+3300</f>
        <v>18200</v>
      </c>
      <c r="BB79" s="141"/>
      <c r="BC79" s="141"/>
      <c r="BD79" s="141"/>
      <c r="BE79" s="141"/>
      <c r="BF79" s="141"/>
      <c r="BG79" s="141"/>
      <c r="BH79" s="141"/>
      <c r="BI79" s="143"/>
    </row>
    <row r="80" spans="1:61" ht="17.25" customHeight="1" x14ac:dyDescent="0.15">
      <c r="A80" s="1"/>
      <c r="B80" s="1"/>
      <c r="H80" s="144" t="s">
        <v>19</v>
      </c>
      <c r="I80" s="145"/>
      <c r="J80" s="145"/>
      <c r="K80" s="145"/>
      <c r="L80" s="145"/>
      <c r="M80" s="145"/>
      <c r="N80" s="145"/>
      <c r="O80" s="145"/>
      <c r="P80" s="145"/>
      <c r="Q80" s="145" t="s">
        <v>76</v>
      </c>
      <c r="R80" s="145"/>
      <c r="S80" s="145"/>
      <c r="T80" s="145"/>
      <c r="U80" s="145"/>
      <c r="V80" s="145"/>
      <c r="W80" s="145"/>
      <c r="X80" s="145"/>
      <c r="Y80" s="146"/>
      <c r="Z80" s="147">
        <f>$AY$2+2450</f>
        <v>17350</v>
      </c>
      <c r="AA80" s="148"/>
      <c r="AB80" s="148"/>
      <c r="AC80" s="148"/>
      <c r="AD80" s="148"/>
      <c r="AE80" s="148"/>
      <c r="AF80" s="148"/>
      <c r="AG80" s="148"/>
      <c r="AH80" s="149"/>
      <c r="AI80" s="144" t="s">
        <v>19</v>
      </c>
      <c r="AJ80" s="145"/>
      <c r="AK80" s="145"/>
      <c r="AL80" s="145"/>
      <c r="AM80" s="145"/>
      <c r="AN80" s="145"/>
      <c r="AO80" s="145"/>
      <c r="AP80" s="145"/>
      <c r="AQ80" s="145"/>
      <c r="AR80" s="145" t="s">
        <v>18</v>
      </c>
      <c r="AS80" s="145"/>
      <c r="AT80" s="145"/>
      <c r="AU80" s="145"/>
      <c r="AV80" s="145"/>
      <c r="AW80" s="145"/>
      <c r="AX80" s="145"/>
      <c r="AY80" s="145"/>
      <c r="AZ80" s="146"/>
      <c r="BA80" s="147">
        <f>$AY$2+4000</f>
        <v>18900</v>
      </c>
      <c r="BB80" s="148"/>
      <c r="BC80" s="148"/>
      <c r="BD80" s="148"/>
      <c r="BE80" s="148"/>
      <c r="BF80" s="148"/>
      <c r="BG80" s="148"/>
      <c r="BH80" s="148"/>
      <c r="BI80" s="150"/>
    </row>
    <row r="81" spans="1:61" ht="17.25" customHeight="1" x14ac:dyDescent="0.15">
      <c r="A81" s="1"/>
      <c r="B81" s="1"/>
      <c r="H81" s="144" t="s">
        <v>17</v>
      </c>
      <c r="I81" s="145"/>
      <c r="J81" s="145"/>
      <c r="K81" s="145"/>
      <c r="L81" s="145"/>
      <c r="M81" s="145"/>
      <c r="N81" s="145"/>
      <c r="O81" s="145"/>
      <c r="P81" s="145"/>
      <c r="Q81" s="145" t="s">
        <v>77</v>
      </c>
      <c r="R81" s="145"/>
      <c r="S81" s="145"/>
      <c r="T81" s="145"/>
      <c r="U81" s="145"/>
      <c r="V81" s="145"/>
      <c r="W81" s="145"/>
      <c r="X81" s="145"/>
      <c r="Y81" s="146"/>
      <c r="Z81" s="147">
        <f>$AY$2+800</f>
        <v>15700</v>
      </c>
      <c r="AA81" s="148"/>
      <c r="AB81" s="148"/>
      <c r="AC81" s="148"/>
      <c r="AD81" s="148"/>
      <c r="AE81" s="148"/>
      <c r="AF81" s="148"/>
      <c r="AG81" s="148"/>
      <c r="AH81" s="149"/>
      <c r="AI81" s="144" t="s">
        <v>78</v>
      </c>
      <c r="AJ81" s="145"/>
      <c r="AK81" s="145"/>
      <c r="AL81" s="145"/>
      <c r="AM81" s="145"/>
      <c r="AN81" s="145"/>
      <c r="AO81" s="145"/>
      <c r="AP81" s="145"/>
      <c r="AQ81" s="145"/>
      <c r="AR81" s="145" t="s">
        <v>49</v>
      </c>
      <c r="AS81" s="145"/>
      <c r="AT81" s="145"/>
      <c r="AU81" s="145"/>
      <c r="AV81" s="145"/>
      <c r="AW81" s="145"/>
      <c r="AX81" s="145"/>
      <c r="AY81" s="145"/>
      <c r="AZ81" s="146"/>
      <c r="BA81" s="147">
        <f>$AY$2+2300</f>
        <v>17200</v>
      </c>
      <c r="BB81" s="148"/>
      <c r="BC81" s="148"/>
      <c r="BD81" s="148"/>
      <c r="BE81" s="148"/>
      <c r="BF81" s="148"/>
      <c r="BG81" s="148"/>
      <c r="BH81" s="148"/>
      <c r="BI81" s="150"/>
    </row>
    <row r="82" spans="1:61" ht="17.25" customHeight="1" x14ac:dyDescent="0.15">
      <c r="A82" s="1"/>
      <c r="B82" s="1"/>
      <c r="H82" s="144" t="s">
        <v>79</v>
      </c>
      <c r="I82" s="145"/>
      <c r="J82" s="145"/>
      <c r="K82" s="145"/>
      <c r="L82" s="145"/>
      <c r="M82" s="145"/>
      <c r="N82" s="145"/>
      <c r="O82" s="145"/>
      <c r="P82" s="145"/>
      <c r="Q82" s="145" t="s">
        <v>80</v>
      </c>
      <c r="R82" s="145"/>
      <c r="S82" s="145"/>
      <c r="T82" s="145"/>
      <c r="U82" s="145"/>
      <c r="V82" s="145"/>
      <c r="W82" s="145"/>
      <c r="X82" s="145"/>
      <c r="Y82" s="146"/>
      <c r="Z82" s="147">
        <f>$AY$2+1450</f>
        <v>16350</v>
      </c>
      <c r="AA82" s="148"/>
      <c r="AB82" s="148"/>
      <c r="AC82" s="148"/>
      <c r="AD82" s="148"/>
      <c r="AE82" s="148"/>
      <c r="AF82" s="148"/>
      <c r="AG82" s="148"/>
      <c r="AH82" s="149"/>
      <c r="AI82" s="144" t="s">
        <v>81</v>
      </c>
      <c r="AJ82" s="145"/>
      <c r="AK82" s="145"/>
      <c r="AL82" s="145"/>
      <c r="AM82" s="145"/>
      <c r="AN82" s="145"/>
      <c r="AO82" s="145"/>
      <c r="AP82" s="145"/>
      <c r="AQ82" s="145"/>
      <c r="AR82" s="145" t="s">
        <v>82</v>
      </c>
      <c r="AS82" s="145"/>
      <c r="AT82" s="145"/>
      <c r="AU82" s="145"/>
      <c r="AV82" s="145"/>
      <c r="AW82" s="145"/>
      <c r="AX82" s="145"/>
      <c r="AY82" s="145"/>
      <c r="AZ82" s="146"/>
      <c r="BA82" s="147">
        <f>$AY$2+3000</f>
        <v>17900</v>
      </c>
      <c r="BB82" s="148"/>
      <c r="BC82" s="148"/>
      <c r="BD82" s="148"/>
      <c r="BE82" s="148"/>
      <c r="BF82" s="148"/>
      <c r="BG82" s="148"/>
      <c r="BH82" s="148"/>
      <c r="BI82" s="150"/>
    </row>
    <row r="83" spans="1:61" ht="17.25" customHeight="1" x14ac:dyDescent="0.15">
      <c r="A83" s="1"/>
      <c r="B83" s="1"/>
      <c r="H83" s="144" t="s">
        <v>73</v>
      </c>
      <c r="I83" s="145"/>
      <c r="J83" s="145"/>
      <c r="K83" s="145"/>
      <c r="L83" s="145"/>
      <c r="M83" s="145"/>
      <c r="N83" s="145"/>
      <c r="O83" s="145"/>
      <c r="P83" s="145"/>
      <c r="Q83" s="145" t="s">
        <v>50</v>
      </c>
      <c r="R83" s="145"/>
      <c r="S83" s="145"/>
      <c r="T83" s="145"/>
      <c r="U83" s="145"/>
      <c r="V83" s="145"/>
      <c r="W83" s="145"/>
      <c r="X83" s="145"/>
      <c r="Y83" s="146"/>
      <c r="Z83" s="147">
        <f>$AY$2+4300</f>
        <v>19200</v>
      </c>
      <c r="AA83" s="148"/>
      <c r="AB83" s="148"/>
      <c r="AC83" s="148"/>
      <c r="AD83" s="148"/>
      <c r="AE83" s="148"/>
      <c r="AF83" s="148"/>
      <c r="AG83" s="148"/>
      <c r="AH83" s="149"/>
      <c r="AI83" s="144" t="s">
        <v>73</v>
      </c>
      <c r="AJ83" s="145"/>
      <c r="AK83" s="145"/>
      <c r="AL83" s="145"/>
      <c r="AM83" s="145"/>
      <c r="AN83" s="145"/>
      <c r="AO83" s="145"/>
      <c r="AP83" s="145"/>
      <c r="AQ83" s="145"/>
      <c r="AR83" s="145" t="s">
        <v>50</v>
      </c>
      <c r="AS83" s="145"/>
      <c r="AT83" s="145"/>
      <c r="AU83" s="145"/>
      <c r="AV83" s="145"/>
      <c r="AW83" s="145"/>
      <c r="AX83" s="145"/>
      <c r="AY83" s="145"/>
      <c r="AZ83" s="146"/>
      <c r="BA83" s="147">
        <f>$AY$2+5800</f>
        <v>20700</v>
      </c>
      <c r="BB83" s="148"/>
      <c r="BC83" s="148"/>
      <c r="BD83" s="148"/>
      <c r="BE83" s="148"/>
      <c r="BF83" s="148"/>
      <c r="BG83" s="148"/>
      <c r="BH83" s="148"/>
      <c r="BI83" s="150"/>
    </row>
    <row r="84" spans="1:61" ht="17.25" customHeight="1" x14ac:dyDescent="0.15">
      <c r="A84" s="1"/>
      <c r="B84" s="1"/>
      <c r="H84" s="151" t="s">
        <v>79</v>
      </c>
      <c r="I84" s="152"/>
      <c r="J84" s="152"/>
      <c r="K84" s="152"/>
      <c r="L84" s="152"/>
      <c r="M84" s="152"/>
      <c r="N84" s="152"/>
      <c r="O84" s="152"/>
      <c r="P84" s="152"/>
      <c r="Q84" s="152" t="s">
        <v>50</v>
      </c>
      <c r="R84" s="152"/>
      <c r="S84" s="152"/>
      <c r="T84" s="152"/>
      <c r="U84" s="152"/>
      <c r="V84" s="152"/>
      <c r="W84" s="152"/>
      <c r="X84" s="152"/>
      <c r="Y84" s="153"/>
      <c r="Z84" s="154">
        <f>$AY$2+4950</f>
        <v>19850</v>
      </c>
      <c r="AA84" s="155"/>
      <c r="AB84" s="155"/>
      <c r="AC84" s="155"/>
      <c r="AD84" s="155"/>
      <c r="AE84" s="155"/>
      <c r="AF84" s="155"/>
      <c r="AG84" s="155"/>
      <c r="AH84" s="156"/>
      <c r="AI84" s="151" t="s">
        <v>83</v>
      </c>
      <c r="AJ84" s="152"/>
      <c r="AK84" s="152"/>
      <c r="AL84" s="152"/>
      <c r="AM84" s="152"/>
      <c r="AN84" s="152"/>
      <c r="AO84" s="152"/>
      <c r="AP84" s="152"/>
      <c r="AQ84" s="152"/>
      <c r="AR84" s="152" t="s">
        <v>50</v>
      </c>
      <c r="AS84" s="152"/>
      <c r="AT84" s="152"/>
      <c r="AU84" s="152"/>
      <c r="AV84" s="152"/>
      <c r="AW84" s="152"/>
      <c r="AX84" s="152"/>
      <c r="AY84" s="152"/>
      <c r="AZ84" s="153"/>
      <c r="BA84" s="154">
        <f>$AY$2+6500</f>
        <v>21400</v>
      </c>
      <c r="BB84" s="155"/>
      <c r="BC84" s="155"/>
      <c r="BD84" s="155"/>
      <c r="BE84" s="155"/>
      <c r="BF84" s="155"/>
      <c r="BG84" s="155"/>
      <c r="BH84" s="155"/>
      <c r="BI84" s="157"/>
    </row>
    <row r="85" spans="1:61" ht="17.25" customHeight="1" x14ac:dyDescent="0.15">
      <c r="A85" s="1"/>
      <c r="B85" s="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2"/>
      <c r="AA85" s="12"/>
      <c r="AB85" s="12"/>
      <c r="AC85" s="12"/>
      <c r="AD85" s="12"/>
      <c r="AE85" s="12"/>
      <c r="AF85" s="12"/>
      <c r="AG85" s="12"/>
      <c r="AH85" s="12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2"/>
      <c r="BB85" s="12"/>
      <c r="BC85" s="12"/>
      <c r="BD85" s="12"/>
      <c r="BE85" s="12"/>
      <c r="BF85" s="12"/>
      <c r="BG85" s="12"/>
      <c r="BH85" s="12"/>
      <c r="BI85" s="12"/>
    </row>
    <row r="86" spans="1:61" x14ac:dyDescent="0.15">
      <c r="A86" s="3"/>
      <c r="B86" s="3"/>
      <c r="G86" t="s">
        <v>60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1:61" x14ac:dyDescent="0.15">
      <c r="A87" s="3"/>
      <c r="B87" s="3"/>
      <c r="G87" s="7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9" t="s">
        <v>59</v>
      </c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53" t="s">
        <v>41</v>
      </c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 t="s">
        <v>42</v>
      </c>
      <c r="AR87" s="53"/>
      <c r="AS87" s="53"/>
      <c r="AT87" s="53"/>
      <c r="AU87" s="53"/>
      <c r="AV87" s="53"/>
      <c r="AW87" s="53"/>
      <c r="AX87" s="53"/>
      <c r="AY87" s="53"/>
      <c r="AZ87" s="53"/>
      <c r="BA87" s="88"/>
    </row>
    <row r="88" spans="1:61" x14ac:dyDescent="0.15">
      <c r="A88" s="3"/>
      <c r="B88" s="3"/>
      <c r="H88" s="87" t="s">
        <v>32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1">
        <f>$AY$2+10600</f>
        <v>25500</v>
      </c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>
        <f>$AY$2+12500</f>
        <v>27400</v>
      </c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>
        <f>$AY$2+14300</f>
        <v>29200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60"/>
    </row>
    <row r="89" spans="1:61" ht="13.5" customHeight="1" x14ac:dyDescent="0.15">
      <c r="A89" s="3"/>
      <c r="B89" s="3"/>
      <c r="H89" s="78" t="s">
        <v>33</v>
      </c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9" t="s">
        <v>85</v>
      </c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 t="s">
        <v>85</v>
      </c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 t="s">
        <v>86</v>
      </c>
      <c r="AR89" s="65"/>
      <c r="AS89" s="65"/>
      <c r="AT89" s="65"/>
      <c r="AU89" s="65"/>
      <c r="AV89" s="65"/>
      <c r="AW89" s="65"/>
      <c r="AX89" s="65"/>
      <c r="AY89" s="65"/>
      <c r="AZ89" s="65"/>
      <c r="BA89" s="69"/>
    </row>
    <row r="90" spans="1:61" ht="13.5" customHeight="1" x14ac:dyDescent="0.15">
      <c r="A90" s="3"/>
      <c r="B90" s="3"/>
      <c r="H90" s="85" t="s">
        <v>34</v>
      </c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79">
        <f>$AY$2+5600</f>
        <v>20500</v>
      </c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>
        <f>$AY$2+5600+1300</f>
        <v>21800</v>
      </c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>
        <f>$AY$2+5600+3100</f>
        <v>23600</v>
      </c>
      <c r="AR90" s="65"/>
      <c r="AS90" s="65"/>
      <c r="AT90" s="65"/>
      <c r="AU90" s="65"/>
      <c r="AV90" s="65"/>
      <c r="AW90" s="65"/>
      <c r="AX90" s="65"/>
      <c r="AY90" s="65"/>
      <c r="AZ90" s="65"/>
      <c r="BA90" s="69"/>
    </row>
    <row r="91" spans="1:61" ht="14.25" customHeight="1" x14ac:dyDescent="0.15">
      <c r="A91" s="3"/>
      <c r="B91" s="3"/>
      <c r="H91" s="78" t="s">
        <v>35</v>
      </c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9">
        <f>$AY$2+4300</f>
        <v>19200</v>
      </c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>
        <f>$AY$2+4600+800</f>
        <v>20300</v>
      </c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>
        <f>$AY$2+4600+2600</f>
        <v>22100</v>
      </c>
      <c r="AR91" s="65"/>
      <c r="AS91" s="65"/>
      <c r="AT91" s="65"/>
      <c r="AU91" s="65"/>
      <c r="AV91" s="65"/>
      <c r="AW91" s="65"/>
      <c r="AX91" s="65"/>
      <c r="AY91" s="65"/>
      <c r="AZ91" s="65"/>
      <c r="BA91" s="69"/>
    </row>
    <row r="92" spans="1:61" ht="13.5" customHeight="1" x14ac:dyDescent="0.15">
      <c r="A92" s="3"/>
      <c r="B92" s="3"/>
      <c r="H92" s="85" t="s">
        <v>36</v>
      </c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79">
        <f>$AY$2+3000</f>
        <v>17900</v>
      </c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>
        <f>$AY$2+3600+400</f>
        <v>18900</v>
      </c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>
        <f>$AY$2+3600+2200</f>
        <v>20700</v>
      </c>
      <c r="AR92" s="65"/>
      <c r="AS92" s="65"/>
      <c r="AT92" s="65"/>
      <c r="AU92" s="65"/>
      <c r="AV92" s="65"/>
      <c r="AW92" s="65"/>
      <c r="AX92" s="65"/>
      <c r="AY92" s="65"/>
      <c r="AZ92" s="65"/>
      <c r="BA92" s="69"/>
    </row>
    <row r="93" spans="1:61" ht="13.5" customHeight="1" x14ac:dyDescent="0.15">
      <c r="A93" s="3"/>
      <c r="B93" s="3"/>
      <c r="H93" s="85" t="s">
        <v>37</v>
      </c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79" t="s">
        <v>85</v>
      </c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 t="s">
        <v>85</v>
      </c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 t="s">
        <v>85</v>
      </c>
      <c r="AR93" s="65"/>
      <c r="AS93" s="65"/>
      <c r="AT93" s="65"/>
      <c r="AU93" s="65"/>
      <c r="AV93" s="65"/>
      <c r="AW93" s="65"/>
      <c r="AX93" s="65"/>
      <c r="AY93" s="65"/>
      <c r="AZ93" s="65"/>
      <c r="BA93" s="69"/>
    </row>
    <row r="94" spans="1:61" ht="13.5" customHeight="1" x14ac:dyDescent="0.15">
      <c r="A94" s="3"/>
      <c r="B94" s="3"/>
      <c r="H94" s="85" t="s">
        <v>38</v>
      </c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79">
        <f>$AY$2+1700</f>
        <v>16600</v>
      </c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>
        <f>$AY$2+2600+1400</f>
        <v>18900</v>
      </c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>
        <f>$AY$2+2600+3200</f>
        <v>20700</v>
      </c>
      <c r="AR94" s="65"/>
      <c r="AS94" s="65"/>
      <c r="AT94" s="65"/>
      <c r="AU94" s="65"/>
      <c r="AV94" s="65"/>
      <c r="AW94" s="65"/>
      <c r="AX94" s="65"/>
      <c r="AY94" s="65"/>
      <c r="AZ94" s="65"/>
      <c r="BA94" s="69"/>
    </row>
    <row r="95" spans="1:61" ht="13.5" customHeight="1" x14ac:dyDescent="0.15">
      <c r="A95" s="3"/>
      <c r="B95" s="3"/>
      <c r="H95" s="85" t="s">
        <v>39</v>
      </c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79">
        <f>$AY$2+1050</f>
        <v>15950</v>
      </c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>
        <f>$AY$2+1650</f>
        <v>16550</v>
      </c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>
        <f>$AY$2+1700+1750</f>
        <v>18350</v>
      </c>
      <c r="AR95" s="65"/>
      <c r="AS95" s="65"/>
      <c r="AT95" s="65"/>
      <c r="AU95" s="65"/>
      <c r="AV95" s="65"/>
      <c r="AW95" s="65"/>
      <c r="AX95" s="65"/>
      <c r="AY95" s="65"/>
      <c r="AZ95" s="65"/>
      <c r="BA95" s="69"/>
    </row>
    <row r="96" spans="1:61" ht="13.5" customHeight="1" x14ac:dyDescent="0.15">
      <c r="A96" s="3"/>
      <c r="B96" s="3"/>
      <c r="H96" s="86" t="s">
        <v>40</v>
      </c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3" t="s">
        <v>87</v>
      </c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 t="s">
        <v>85</v>
      </c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 t="s">
        <v>85</v>
      </c>
      <c r="AR96" s="74"/>
      <c r="AS96" s="74"/>
      <c r="AT96" s="74"/>
      <c r="AU96" s="74"/>
      <c r="AV96" s="74"/>
      <c r="AW96" s="74"/>
      <c r="AX96" s="74"/>
      <c r="AY96" s="74"/>
      <c r="AZ96" s="74"/>
      <c r="BA96" s="75"/>
    </row>
    <row r="97" spans="1:49" ht="13.5" customHeight="1" x14ac:dyDescent="0.15">
      <c r="A97" s="3"/>
      <c r="B97" s="3"/>
    </row>
    <row r="98" spans="1:49" x14ac:dyDescent="0.15">
      <c r="A98" s="3"/>
      <c r="B98" s="3"/>
      <c r="G98" t="s">
        <v>43</v>
      </c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49" ht="13.5" customHeight="1" x14ac:dyDescent="0.15">
      <c r="A99" s="3"/>
      <c r="B99" s="1"/>
      <c r="G99" t="s">
        <v>44</v>
      </c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49" x14ac:dyDescent="0.15">
      <c r="A100" s="1"/>
      <c r="B100" s="1"/>
      <c r="G100" t="s">
        <v>45</v>
      </c>
    </row>
    <row r="101" spans="1:49" x14ac:dyDescent="0.15">
      <c r="A101" s="1"/>
      <c r="B101" s="1"/>
      <c r="H101" s="91" t="s">
        <v>1</v>
      </c>
      <c r="I101" s="92"/>
      <c r="J101" s="92"/>
      <c r="K101" s="92"/>
      <c r="L101" s="92"/>
      <c r="M101" s="92"/>
      <c r="N101" s="92"/>
      <c r="O101" s="92"/>
      <c r="P101" s="92"/>
      <c r="Q101" s="93"/>
      <c r="R101" s="97" t="s">
        <v>2</v>
      </c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9"/>
    </row>
    <row r="102" spans="1:49" ht="46.5" customHeight="1" x14ac:dyDescent="0.15">
      <c r="A102" s="1"/>
      <c r="B102" s="1"/>
      <c r="H102" s="94"/>
      <c r="I102" s="95"/>
      <c r="J102" s="95"/>
      <c r="K102" s="95"/>
      <c r="L102" s="95"/>
      <c r="M102" s="95"/>
      <c r="N102" s="95"/>
      <c r="O102" s="95"/>
      <c r="P102" s="95"/>
      <c r="Q102" s="96"/>
      <c r="R102" s="100" t="s">
        <v>3</v>
      </c>
      <c r="S102" s="101"/>
      <c r="T102" s="101"/>
      <c r="U102" s="101"/>
      <c r="V102" s="101"/>
      <c r="W102" s="101"/>
      <c r="X102" s="102" t="s">
        <v>61</v>
      </c>
      <c r="Y102" s="102"/>
      <c r="Z102" s="102"/>
      <c r="AA102" s="102"/>
      <c r="AB102" s="102"/>
      <c r="AC102" s="102"/>
      <c r="AD102" s="102"/>
      <c r="AE102" s="102"/>
      <c r="AF102" s="102"/>
      <c r="AG102" s="103"/>
      <c r="AH102" s="100" t="s">
        <v>3</v>
      </c>
      <c r="AI102" s="101"/>
      <c r="AJ102" s="101"/>
      <c r="AK102" s="101"/>
      <c r="AL102" s="101"/>
      <c r="AM102" s="101"/>
      <c r="AN102" s="102" t="s">
        <v>62</v>
      </c>
      <c r="AO102" s="102"/>
      <c r="AP102" s="102"/>
      <c r="AQ102" s="102"/>
      <c r="AR102" s="102"/>
      <c r="AS102" s="102"/>
      <c r="AT102" s="102"/>
      <c r="AU102" s="102"/>
      <c r="AV102" s="102"/>
      <c r="AW102" s="104"/>
    </row>
    <row r="103" spans="1:49" ht="14.25" customHeight="1" x14ac:dyDescent="0.15">
      <c r="A103" s="1"/>
      <c r="B103" s="1"/>
      <c r="H103" s="105">
        <v>65</v>
      </c>
      <c r="I103" s="106"/>
      <c r="J103" s="106"/>
      <c r="K103" s="106"/>
      <c r="L103" s="106"/>
      <c r="M103" s="106"/>
      <c r="N103" s="106"/>
      <c r="O103" s="106"/>
      <c r="P103" s="106"/>
      <c r="Q103" s="107"/>
      <c r="R103" s="108">
        <v>21</v>
      </c>
      <c r="S103" s="109"/>
      <c r="T103" s="109"/>
      <c r="U103" s="109"/>
      <c r="V103" s="109"/>
      <c r="W103" s="109"/>
      <c r="X103" s="110">
        <f>$AY$2+300</f>
        <v>15200</v>
      </c>
      <c r="Y103" s="110"/>
      <c r="Z103" s="110"/>
      <c r="AA103" s="110"/>
      <c r="AB103" s="110"/>
      <c r="AC103" s="110"/>
      <c r="AD103" s="110"/>
      <c r="AE103" s="110"/>
      <c r="AF103" s="110"/>
      <c r="AG103" s="111"/>
      <c r="AH103" s="108" t="s">
        <v>63</v>
      </c>
      <c r="AI103" s="109"/>
      <c r="AJ103" s="109"/>
      <c r="AK103" s="109"/>
      <c r="AL103" s="109"/>
      <c r="AM103" s="109"/>
      <c r="AN103" s="110" t="s">
        <v>65</v>
      </c>
      <c r="AO103" s="110"/>
      <c r="AP103" s="110"/>
      <c r="AQ103" s="110"/>
      <c r="AR103" s="110"/>
      <c r="AS103" s="110"/>
      <c r="AT103" s="110"/>
      <c r="AU103" s="110"/>
      <c r="AV103" s="110"/>
      <c r="AW103" s="112"/>
    </row>
    <row r="104" spans="1:49" x14ac:dyDescent="0.15">
      <c r="A104" s="1"/>
      <c r="B104" s="1"/>
      <c r="H104" s="113">
        <v>60</v>
      </c>
      <c r="I104" s="114"/>
      <c r="J104" s="114"/>
      <c r="K104" s="114"/>
      <c r="L104" s="114"/>
      <c r="M104" s="114"/>
      <c r="N104" s="114"/>
      <c r="O104" s="114"/>
      <c r="P104" s="114"/>
      <c r="Q104" s="115"/>
      <c r="R104" s="116">
        <v>24</v>
      </c>
      <c r="S104" s="117"/>
      <c r="T104" s="117"/>
      <c r="U104" s="117"/>
      <c r="V104" s="117"/>
      <c r="W104" s="117"/>
      <c r="X104" s="118">
        <f>$AY$2+600</f>
        <v>15500</v>
      </c>
      <c r="Y104" s="118"/>
      <c r="Z104" s="118"/>
      <c r="AA104" s="118"/>
      <c r="AB104" s="118"/>
      <c r="AC104" s="118"/>
      <c r="AD104" s="118"/>
      <c r="AE104" s="118"/>
      <c r="AF104" s="118"/>
      <c r="AG104" s="119"/>
      <c r="AH104" s="116" t="s">
        <v>64</v>
      </c>
      <c r="AI104" s="117"/>
      <c r="AJ104" s="117"/>
      <c r="AK104" s="117"/>
      <c r="AL104" s="117"/>
      <c r="AM104" s="117"/>
      <c r="AN104" s="118" t="s">
        <v>66</v>
      </c>
      <c r="AO104" s="118"/>
      <c r="AP104" s="118"/>
      <c r="AQ104" s="118"/>
      <c r="AR104" s="118"/>
      <c r="AS104" s="118"/>
      <c r="AT104" s="118"/>
      <c r="AU104" s="118"/>
      <c r="AV104" s="118"/>
      <c r="AW104" s="120"/>
    </row>
    <row r="105" spans="1:49" x14ac:dyDescent="0.15">
      <c r="A105" s="1"/>
      <c r="B105" s="1"/>
      <c r="H105" s="113">
        <v>55</v>
      </c>
      <c r="I105" s="114"/>
      <c r="J105" s="114"/>
      <c r="K105" s="114"/>
      <c r="L105" s="114"/>
      <c r="M105" s="114"/>
      <c r="N105" s="114"/>
      <c r="O105" s="114"/>
      <c r="P105" s="114"/>
      <c r="Q105" s="115"/>
      <c r="R105" s="116">
        <v>27</v>
      </c>
      <c r="S105" s="117"/>
      <c r="T105" s="117"/>
      <c r="U105" s="117"/>
      <c r="V105" s="117"/>
      <c r="W105" s="117"/>
      <c r="X105" s="118">
        <f>$AY$2+900</f>
        <v>15800</v>
      </c>
      <c r="Y105" s="118"/>
      <c r="Z105" s="118"/>
      <c r="AA105" s="118"/>
      <c r="AB105" s="118"/>
      <c r="AC105" s="118"/>
      <c r="AD105" s="118"/>
      <c r="AE105" s="118"/>
      <c r="AF105" s="118"/>
      <c r="AG105" s="119"/>
      <c r="AH105" s="116">
        <v>27</v>
      </c>
      <c r="AI105" s="117"/>
      <c r="AJ105" s="117"/>
      <c r="AK105" s="117"/>
      <c r="AL105" s="117"/>
      <c r="AM105" s="117"/>
      <c r="AN105" s="118">
        <f>$AY$2+1700</f>
        <v>16600</v>
      </c>
      <c r="AO105" s="118"/>
      <c r="AP105" s="118"/>
      <c r="AQ105" s="118"/>
      <c r="AR105" s="118"/>
      <c r="AS105" s="118"/>
      <c r="AT105" s="118"/>
      <c r="AU105" s="118"/>
      <c r="AV105" s="118"/>
      <c r="AW105" s="120"/>
    </row>
    <row r="106" spans="1:49" x14ac:dyDescent="0.15">
      <c r="A106" s="1"/>
      <c r="B106" s="1"/>
      <c r="H106" s="121">
        <v>50</v>
      </c>
      <c r="I106" s="122"/>
      <c r="J106" s="122"/>
      <c r="K106" s="122"/>
      <c r="L106" s="122"/>
      <c r="M106" s="122"/>
      <c r="N106" s="122"/>
      <c r="O106" s="122"/>
      <c r="P106" s="122"/>
      <c r="Q106" s="123"/>
      <c r="R106" s="124">
        <v>30</v>
      </c>
      <c r="S106" s="125"/>
      <c r="T106" s="125"/>
      <c r="U106" s="125"/>
      <c r="V106" s="125"/>
      <c r="W106" s="125"/>
      <c r="X106" s="126">
        <f>$AY$2+1200</f>
        <v>16100</v>
      </c>
      <c r="Y106" s="126"/>
      <c r="Z106" s="126"/>
      <c r="AA106" s="126"/>
      <c r="AB106" s="126"/>
      <c r="AC106" s="126"/>
      <c r="AD106" s="126"/>
      <c r="AE106" s="126"/>
      <c r="AF106" s="126"/>
      <c r="AG106" s="127"/>
      <c r="AH106" s="124">
        <v>30</v>
      </c>
      <c r="AI106" s="125"/>
      <c r="AJ106" s="125"/>
      <c r="AK106" s="125"/>
      <c r="AL106" s="125"/>
      <c r="AM106" s="125"/>
      <c r="AN106" s="126">
        <f>$AY$2+2000</f>
        <v>16900</v>
      </c>
      <c r="AO106" s="126"/>
      <c r="AP106" s="126"/>
      <c r="AQ106" s="126"/>
      <c r="AR106" s="126"/>
      <c r="AS106" s="126"/>
      <c r="AT106" s="126"/>
      <c r="AU106" s="126"/>
      <c r="AV106" s="126"/>
      <c r="AW106" s="128"/>
    </row>
    <row r="107" spans="1:49" x14ac:dyDescent="0.15">
      <c r="A107" s="1"/>
      <c r="B107" s="1"/>
    </row>
    <row r="108" spans="1:49" x14ac:dyDescent="0.15">
      <c r="A108" s="1"/>
      <c r="B108" s="1"/>
    </row>
    <row r="109" spans="1:49" x14ac:dyDescent="0.15">
      <c r="A109" s="1"/>
      <c r="B109" s="1"/>
    </row>
    <row r="110" spans="1:49" x14ac:dyDescent="0.15">
      <c r="A110" s="1"/>
      <c r="B110" s="1"/>
    </row>
    <row r="111" spans="1:49" x14ac:dyDescent="0.15">
      <c r="A111" s="1"/>
      <c r="B111" s="1"/>
    </row>
    <row r="112" spans="1:49" x14ac:dyDescent="0.15">
      <c r="A112" s="1"/>
      <c r="B112" s="1"/>
    </row>
    <row r="113" spans="1:2" x14ac:dyDescent="0.15">
      <c r="A113" s="1"/>
      <c r="B113" s="1"/>
    </row>
    <row r="114" spans="1:2" ht="14.25" customHeight="1" x14ac:dyDescent="0.15">
      <c r="A114" s="1"/>
      <c r="B114" s="1"/>
    </row>
    <row r="115" spans="1:2" x14ac:dyDescent="0.15">
      <c r="A115" s="1"/>
      <c r="B115" s="1"/>
    </row>
    <row r="116" spans="1:2" ht="14.25" customHeight="1" x14ac:dyDescent="0.15">
      <c r="A116" s="1"/>
      <c r="B116" s="1"/>
    </row>
    <row r="117" spans="1:2" x14ac:dyDescent="0.15">
      <c r="A117" s="1"/>
      <c r="B117" s="1"/>
    </row>
    <row r="118" spans="1:2" x14ac:dyDescent="0.15">
      <c r="A118" s="1"/>
      <c r="B118" s="1"/>
    </row>
    <row r="119" spans="1:2" x14ac:dyDescent="0.15">
      <c r="A119" s="1"/>
      <c r="B119" s="1"/>
    </row>
    <row r="120" spans="1:2" x14ac:dyDescent="0.15">
      <c r="A120" s="1"/>
      <c r="B120" s="1"/>
    </row>
    <row r="121" spans="1:2" x14ac:dyDescent="0.15">
      <c r="A121" s="1"/>
      <c r="B121" s="1"/>
    </row>
    <row r="122" spans="1:2" x14ac:dyDescent="0.15">
      <c r="A122" s="1"/>
      <c r="B122" s="1"/>
    </row>
    <row r="123" spans="1:2" x14ac:dyDescent="0.15">
      <c r="A123" s="1"/>
      <c r="B123" s="1"/>
    </row>
    <row r="124" spans="1:2" x14ac:dyDescent="0.15">
      <c r="A124" s="1"/>
      <c r="B124" s="1"/>
    </row>
    <row r="125" spans="1:2" x14ac:dyDescent="0.15">
      <c r="A125" s="1"/>
      <c r="B125" s="1"/>
    </row>
    <row r="126" spans="1:2" x14ac:dyDescent="0.15">
      <c r="A126" s="1"/>
      <c r="B126" s="1"/>
    </row>
    <row r="127" spans="1:2" x14ac:dyDescent="0.15">
      <c r="A127" s="1"/>
      <c r="B127" s="1"/>
    </row>
    <row r="128" spans="1:2" x14ac:dyDescent="0.15">
      <c r="A128" s="1"/>
      <c r="B128" s="1"/>
    </row>
    <row r="129" spans="1:2" ht="13.5" customHeight="1" x14ac:dyDescent="0.15">
      <c r="A129" s="1"/>
      <c r="B129" s="1"/>
    </row>
    <row r="130" spans="1:2" ht="13.5" customHeight="1" x14ac:dyDescent="0.15">
      <c r="A130" s="1"/>
      <c r="B130" s="1"/>
    </row>
    <row r="131" spans="1:2" x14ac:dyDescent="0.15">
      <c r="A131" s="1"/>
      <c r="B131" s="1"/>
    </row>
    <row r="132" spans="1:2" x14ac:dyDescent="0.15">
      <c r="A132" s="1"/>
      <c r="B132" s="1"/>
    </row>
    <row r="133" spans="1:2" x14ac:dyDescent="0.15">
      <c r="A133" s="1"/>
      <c r="B133" s="1"/>
    </row>
    <row r="134" spans="1:2" x14ac:dyDescent="0.15">
      <c r="A134" s="1"/>
      <c r="B134" s="1"/>
    </row>
    <row r="135" spans="1:2" x14ac:dyDescent="0.15">
      <c r="A135" s="1"/>
      <c r="B135" s="1"/>
    </row>
  </sheetData>
  <mergeCells count="360">
    <mergeCell ref="H84:P84"/>
    <mergeCell ref="Q84:Y84"/>
    <mergeCell ref="Z84:AH84"/>
    <mergeCell ref="AI84:AQ84"/>
    <mergeCell ref="AR84:AZ84"/>
    <mergeCell ref="BA84:BI84"/>
    <mergeCell ref="H82:P82"/>
    <mergeCell ref="Q82:Y82"/>
    <mergeCell ref="Z82:AH82"/>
    <mergeCell ref="AI82:AQ82"/>
    <mergeCell ref="AR82:AZ82"/>
    <mergeCell ref="BA82:BI82"/>
    <mergeCell ref="H83:P83"/>
    <mergeCell ref="Q83:Y83"/>
    <mergeCell ref="Z83:AH83"/>
    <mergeCell ref="AI83:AQ83"/>
    <mergeCell ref="AR83:AZ83"/>
    <mergeCell ref="BA83:BI83"/>
    <mergeCell ref="H80:P80"/>
    <mergeCell ref="Q80:Y80"/>
    <mergeCell ref="Z80:AH80"/>
    <mergeCell ref="AI80:AQ80"/>
    <mergeCell ref="AR80:AZ80"/>
    <mergeCell ref="BA80:BI80"/>
    <mergeCell ref="H81:P81"/>
    <mergeCell ref="Q81:Y81"/>
    <mergeCell ref="Z81:AH81"/>
    <mergeCell ref="AI81:AQ81"/>
    <mergeCell ref="AR81:AZ81"/>
    <mergeCell ref="BA81:BI81"/>
    <mergeCell ref="G75:AK75"/>
    <mergeCell ref="H77:AH77"/>
    <mergeCell ref="AI77:BI77"/>
    <mergeCell ref="H78:AH78"/>
    <mergeCell ref="AI78:BI78"/>
    <mergeCell ref="H79:P79"/>
    <mergeCell ref="Q79:Y79"/>
    <mergeCell ref="Z79:AH79"/>
    <mergeCell ref="AI79:AQ79"/>
    <mergeCell ref="AR79:AZ79"/>
    <mergeCell ref="BA79:BI79"/>
    <mergeCell ref="H105:Q105"/>
    <mergeCell ref="R105:W105"/>
    <mergeCell ref="X105:AG105"/>
    <mergeCell ref="AH105:AM105"/>
    <mergeCell ref="AN105:AW105"/>
    <mergeCell ref="H106:Q106"/>
    <mergeCell ref="R106:W106"/>
    <mergeCell ref="X106:AG106"/>
    <mergeCell ref="AH106:AM106"/>
    <mergeCell ref="AN106:AW106"/>
    <mergeCell ref="H103:Q103"/>
    <mergeCell ref="R103:W103"/>
    <mergeCell ref="X103:AG103"/>
    <mergeCell ref="AH103:AM103"/>
    <mergeCell ref="AN103:AW103"/>
    <mergeCell ref="H104:Q104"/>
    <mergeCell ref="R104:W104"/>
    <mergeCell ref="X104:AG104"/>
    <mergeCell ref="AH104:AM104"/>
    <mergeCell ref="AN104:AW104"/>
    <mergeCell ref="U88:AE88"/>
    <mergeCell ref="AF88:AP88"/>
    <mergeCell ref="AQ88:BA88"/>
    <mergeCell ref="U89:AE89"/>
    <mergeCell ref="AF89:AP89"/>
    <mergeCell ref="AQ89:BA89"/>
    <mergeCell ref="H101:Q102"/>
    <mergeCell ref="R101:AW101"/>
    <mergeCell ref="R102:W102"/>
    <mergeCell ref="X102:AG102"/>
    <mergeCell ref="AH102:AM102"/>
    <mergeCell ref="AN102:AW102"/>
    <mergeCell ref="AQ96:BA96"/>
    <mergeCell ref="AQ93:BA93"/>
    <mergeCell ref="U94:AE94"/>
    <mergeCell ref="AF94:AP94"/>
    <mergeCell ref="AQ94:BA94"/>
    <mergeCell ref="U95:AE95"/>
    <mergeCell ref="AF95:AP95"/>
    <mergeCell ref="AQ95:BA95"/>
    <mergeCell ref="AQ90:BA90"/>
    <mergeCell ref="AQ91:BA91"/>
    <mergeCell ref="AQ92:BA92"/>
    <mergeCell ref="H87:T87"/>
    <mergeCell ref="H95:T95"/>
    <mergeCell ref="H96:T96"/>
    <mergeCell ref="U96:AE96"/>
    <mergeCell ref="AF96:AP96"/>
    <mergeCell ref="H94:T94"/>
    <mergeCell ref="H93:T93"/>
    <mergeCell ref="U93:AE93"/>
    <mergeCell ref="AF93:AP93"/>
    <mergeCell ref="H92:T92"/>
    <mergeCell ref="U92:AE92"/>
    <mergeCell ref="AF92:AP92"/>
    <mergeCell ref="H91:T91"/>
    <mergeCell ref="U91:AE91"/>
    <mergeCell ref="AF91:AP91"/>
    <mergeCell ref="H90:T90"/>
    <mergeCell ref="U90:AE90"/>
    <mergeCell ref="AF90:AP90"/>
    <mergeCell ref="H89:T89"/>
    <mergeCell ref="H88:T88"/>
    <mergeCell ref="AQ87:BA87"/>
    <mergeCell ref="AF87:AP87"/>
    <mergeCell ref="U87:AE87"/>
    <mergeCell ref="H73:T73"/>
    <mergeCell ref="U73:AB73"/>
    <mergeCell ref="AC73:AJ73"/>
    <mergeCell ref="AK73:AR73"/>
    <mergeCell ref="AS73:AZ73"/>
    <mergeCell ref="BA73:BH73"/>
    <mergeCell ref="H72:T72"/>
    <mergeCell ref="U72:AB72"/>
    <mergeCell ref="AC72:AJ72"/>
    <mergeCell ref="AK72:AR72"/>
    <mergeCell ref="AS72:AZ72"/>
    <mergeCell ref="BA72:BH72"/>
    <mergeCell ref="H71:T71"/>
    <mergeCell ref="U71:AB71"/>
    <mergeCell ref="AC71:AJ71"/>
    <mergeCell ref="AK71:AR71"/>
    <mergeCell ref="AS71:AZ71"/>
    <mergeCell ref="BA71:BH71"/>
    <mergeCell ref="H70:T70"/>
    <mergeCell ref="U70:AB70"/>
    <mergeCell ref="AC70:AJ70"/>
    <mergeCell ref="AK70:AR70"/>
    <mergeCell ref="AS70:AZ70"/>
    <mergeCell ref="BA70:BH70"/>
    <mergeCell ref="H69:T69"/>
    <mergeCell ref="U69:AB69"/>
    <mergeCell ref="AC69:AJ69"/>
    <mergeCell ref="AK69:AR69"/>
    <mergeCell ref="AS69:AZ69"/>
    <mergeCell ref="BA69:BH69"/>
    <mergeCell ref="H68:T68"/>
    <mergeCell ref="U68:AB68"/>
    <mergeCell ref="AC68:AJ68"/>
    <mergeCell ref="AK68:AR68"/>
    <mergeCell ref="AS68:AZ68"/>
    <mergeCell ref="BA68:BH68"/>
    <mergeCell ref="H67:T67"/>
    <mergeCell ref="U67:AB67"/>
    <mergeCell ref="AC67:AJ67"/>
    <mergeCell ref="AK67:AR67"/>
    <mergeCell ref="AS67:AZ67"/>
    <mergeCell ref="BA67:BH67"/>
    <mergeCell ref="H66:T66"/>
    <mergeCell ref="U66:AB66"/>
    <mergeCell ref="AC66:AJ66"/>
    <mergeCell ref="AK66:AR66"/>
    <mergeCell ref="AS66:AZ66"/>
    <mergeCell ref="BA66:BH66"/>
    <mergeCell ref="H65:T65"/>
    <mergeCell ref="U65:AB65"/>
    <mergeCell ref="AC65:AJ65"/>
    <mergeCell ref="AK65:AR65"/>
    <mergeCell ref="AS65:AZ65"/>
    <mergeCell ref="BA65:BH65"/>
    <mergeCell ref="H63:BH63"/>
    <mergeCell ref="H64:T64"/>
    <mergeCell ref="U64:AB64"/>
    <mergeCell ref="AC64:AJ64"/>
    <mergeCell ref="AK64:AR64"/>
    <mergeCell ref="AS64:AZ64"/>
    <mergeCell ref="BA64:BH64"/>
    <mergeCell ref="H62:BH62"/>
    <mergeCell ref="H60:T60"/>
    <mergeCell ref="U60:AB60"/>
    <mergeCell ref="AC60:AJ60"/>
    <mergeCell ref="AK60:AR60"/>
    <mergeCell ref="AS60:AZ60"/>
    <mergeCell ref="BA60:BH60"/>
    <mergeCell ref="H59:T59"/>
    <mergeCell ref="U59:AB59"/>
    <mergeCell ref="AC59:AJ59"/>
    <mergeCell ref="AK59:AR59"/>
    <mergeCell ref="AS59:AZ59"/>
    <mergeCell ref="BA59:BH59"/>
    <mergeCell ref="H58:T58"/>
    <mergeCell ref="U58:AB58"/>
    <mergeCell ref="AC58:AJ58"/>
    <mergeCell ref="AK58:AR58"/>
    <mergeCell ref="AS58:AZ58"/>
    <mergeCell ref="BA58:BH58"/>
    <mergeCell ref="H57:T57"/>
    <mergeCell ref="U57:AB57"/>
    <mergeCell ref="AC57:AJ57"/>
    <mergeCell ref="AK57:AR57"/>
    <mergeCell ref="AS57:AZ57"/>
    <mergeCell ref="BA57:BH57"/>
    <mergeCell ref="H56:T56"/>
    <mergeCell ref="U56:AB56"/>
    <mergeCell ref="AC56:AJ56"/>
    <mergeCell ref="AK56:AR56"/>
    <mergeCell ref="AS56:AZ56"/>
    <mergeCell ref="BA56:BH56"/>
    <mergeCell ref="BA54:BH54"/>
    <mergeCell ref="H55:T55"/>
    <mergeCell ref="U55:AB55"/>
    <mergeCell ref="AC55:AJ55"/>
    <mergeCell ref="AK55:AR55"/>
    <mergeCell ref="AS55:AZ55"/>
    <mergeCell ref="BA55:BH55"/>
    <mergeCell ref="U53:AB53"/>
    <mergeCell ref="AC53:AJ53"/>
    <mergeCell ref="AK53:AR53"/>
    <mergeCell ref="AS53:AZ53"/>
    <mergeCell ref="BA53:BH53"/>
    <mergeCell ref="H54:T54"/>
    <mergeCell ref="U54:AB54"/>
    <mergeCell ref="AC54:AJ54"/>
    <mergeCell ref="AK54:AR54"/>
    <mergeCell ref="AS54:AZ54"/>
    <mergeCell ref="H53:T53"/>
    <mergeCell ref="H45:P45"/>
    <mergeCell ref="Q45:AH45"/>
    <mergeCell ref="AI45:AQ45"/>
    <mergeCell ref="AR45:BI45"/>
    <mergeCell ref="H50:BH50"/>
    <mergeCell ref="H52:T52"/>
    <mergeCell ref="U52:AB52"/>
    <mergeCell ref="AC52:AJ52"/>
    <mergeCell ref="H49:BH49"/>
    <mergeCell ref="H51:T51"/>
    <mergeCell ref="U51:AB51"/>
    <mergeCell ref="AC51:AJ51"/>
    <mergeCell ref="AK51:AR51"/>
    <mergeCell ref="AS51:AZ51"/>
    <mergeCell ref="BA51:BH51"/>
    <mergeCell ref="AK52:AR52"/>
    <mergeCell ref="AS52:AZ52"/>
    <mergeCell ref="BA52:BH52"/>
    <mergeCell ref="H43:P43"/>
    <mergeCell ref="Q43:AH43"/>
    <mergeCell ref="AI43:AQ43"/>
    <mergeCell ref="AR43:BI43"/>
    <mergeCell ref="H44:P44"/>
    <mergeCell ref="Q44:AH44"/>
    <mergeCell ref="AI44:AQ44"/>
    <mergeCell ref="AR44:BI44"/>
    <mergeCell ref="H41:P41"/>
    <mergeCell ref="Q41:AH41"/>
    <mergeCell ref="AI41:AQ41"/>
    <mergeCell ref="AR41:BI41"/>
    <mergeCell ref="H42:P42"/>
    <mergeCell ref="Q42:AH42"/>
    <mergeCell ref="AI42:AQ42"/>
    <mergeCell ref="AR42:BI42"/>
    <mergeCell ref="AI39:AQ39"/>
    <mergeCell ref="AR39:BI39"/>
    <mergeCell ref="H40:P40"/>
    <mergeCell ref="Q40:AH40"/>
    <mergeCell ref="AI40:AQ40"/>
    <mergeCell ref="AR40:BI40"/>
    <mergeCell ref="Q35:AH36"/>
    <mergeCell ref="AR35:BI36"/>
    <mergeCell ref="H38:P38"/>
    <mergeCell ref="Q38:AH38"/>
    <mergeCell ref="AI38:AQ38"/>
    <mergeCell ref="AR38:BI38"/>
    <mergeCell ref="H37:P37"/>
    <mergeCell ref="Q37:AH37"/>
    <mergeCell ref="AI37:AQ37"/>
    <mergeCell ref="AR37:BI37"/>
    <mergeCell ref="H35:P35"/>
    <mergeCell ref="H36:P36"/>
    <mergeCell ref="AI35:AQ35"/>
    <mergeCell ref="AI36:AQ36"/>
    <mergeCell ref="H39:P39"/>
    <mergeCell ref="Q39:AH39"/>
    <mergeCell ref="AI29:AQ29"/>
    <mergeCell ref="AR29:BI29"/>
    <mergeCell ref="G32:AK32"/>
    <mergeCell ref="H33:AH33"/>
    <mergeCell ref="AI33:BI33"/>
    <mergeCell ref="H34:AH34"/>
    <mergeCell ref="AI34:BI34"/>
    <mergeCell ref="H28:P28"/>
    <mergeCell ref="Q28:AH28"/>
    <mergeCell ref="AI28:AQ28"/>
    <mergeCell ref="AR28:BI28"/>
    <mergeCell ref="H30:P30"/>
    <mergeCell ref="Q30:AH30"/>
    <mergeCell ref="AI30:AQ30"/>
    <mergeCell ref="AR30:BI30"/>
    <mergeCell ref="H29:P29"/>
    <mergeCell ref="Q29:AH29"/>
    <mergeCell ref="AI26:AQ26"/>
    <mergeCell ref="AR26:BI26"/>
    <mergeCell ref="H27:P27"/>
    <mergeCell ref="Q27:AH27"/>
    <mergeCell ref="AI27:AQ27"/>
    <mergeCell ref="AR27:BI27"/>
    <mergeCell ref="H24:P24"/>
    <mergeCell ref="Q24:AH24"/>
    <mergeCell ref="AI24:AQ24"/>
    <mergeCell ref="AR24:BI24"/>
    <mergeCell ref="H25:P25"/>
    <mergeCell ref="Q25:AH25"/>
    <mergeCell ref="AI25:AQ25"/>
    <mergeCell ref="AR25:BI25"/>
    <mergeCell ref="H26:P26"/>
    <mergeCell ref="Q26:AH26"/>
    <mergeCell ref="AR21:BI22"/>
    <mergeCell ref="H23:P23"/>
    <mergeCell ref="Q23:AH23"/>
    <mergeCell ref="AI23:AQ23"/>
    <mergeCell ref="AR23:BI23"/>
    <mergeCell ref="AI15:AQ15"/>
    <mergeCell ref="G17:AM17"/>
    <mergeCell ref="H19:AH19"/>
    <mergeCell ref="AI19:BI19"/>
    <mergeCell ref="H20:AH20"/>
    <mergeCell ref="AI20:BI20"/>
    <mergeCell ref="H21:P21"/>
    <mergeCell ref="H22:P22"/>
    <mergeCell ref="AI21:AQ21"/>
    <mergeCell ref="AI22:AQ22"/>
    <mergeCell ref="Q15:AH15"/>
    <mergeCell ref="H15:P15"/>
    <mergeCell ref="Q21:AH22"/>
    <mergeCell ref="AI13:AQ13"/>
    <mergeCell ref="AI14:AQ14"/>
    <mergeCell ref="AR12:BI12"/>
    <mergeCell ref="AR13:BI13"/>
    <mergeCell ref="AR14:BI14"/>
    <mergeCell ref="AR15:BI15"/>
    <mergeCell ref="AI6:BI6"/>
    <mergeCell ref="AI7:BI7"/>
    <mergeCell ref="AI10:AQ10"/>
    <mergeCell ref="AI11:AQ11"/>
    <mergeCell ref="AY2:BL2"/>
    <mergeCell ref="AK2:AX2"/>
    <mergeCell ref="BM2:BN2"/>
    <mergeCell ref="AR8:BI9"/>
    <mergeCell ref="AR10:BI10"/>
    <mergeCell ref="AR11:BI11"/>
    <mergeCell ref="Q10:AH10"/>
    <mergeCell ref="Q11:AH11"/>
    <mergeCell ref="Q12:AH12"/>
    <mergeCell ref="AI8:AQ8"/>
    <mergeCell ref="AI9:AQ9"/>
    <mergeCell ref="AI12:AQ12"/>
    <mergeCell ref="C2:M2"/>
    <mergeCell ref="F4:AH4"/>
    <mergeCell ref="Q8:AH9"/>
    <mergeCell ref="H7:AH7"/>
    <mergeCell ref="H6:AH6"/>
    <mergeCell ref="H9:P9"/>
    <mergeCell ref="H8:P8"/>
    <mergeCell ref="Q13:AH13"/>
    <mergeCell ref="Q14:AH14"/>
    <mergeCell ref="H10:P10"/>
    <mergeCell ref="H11:P11"/>
    <mergeCell ref="H12:P12"/>
    <mergeCell ref="H13:P13"/>
    <mergeCell ref="H14:P14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N135"/>
  <sheetViews>
    <sheetView workbookViewId="0">
      <selection activeCell="AN107" sqref="AN107"/>
    </sheetView>
  </sheetViews>
  <sheetFormatPr defaultColWidth="1.375" defaultRowHeight="13.5" x14ac:dyDescent="0.15"/>
  <sheetData>
    <row r="1" spans="1:66" ht="14.25" thickBot="1" x14ac:dyDescent="0.2"/>
    <row r="2" spans="1:66" ht="18.75" thickTop="1" thickBot="1" x14ac:dyDescent="0.25">
      <c r="A2" s="1"/>
      <c r="B2" s="2" t="s">
        <v>0</v>
      </c>
      <c r="C2" s="13" t="s">
        <v>4</v>
      </c>
      <c r="D2" s="13"/>
      <c r="E2" s="13"/>
      <c r="F2" s="13"/>
      <c r="G2" s="13"/>
      <c r="H2" s="13"/>
      <c r="I2" s="13"/>
      <c r="J2" s="13"/>
      <c r="K2" s="13"/>
      <c r="L2" s="13"/>
      <c r="M2" s="13"/>
      <c r="AK2" s="33" t="s">
        <v>10</v>
      </c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4"/>
      <c r="AY2" s="30">
        <v>13900</v>
      </c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2"/>
      <c r="BM2" s="35" t="s">
        <v>11</v>
      </c>
      <c r="BN2" s="13"/>
    </row>
    <row r="3" spans="1:66" ht="18" thickTop="1" x14ac:dyDescent="0.2">
      <c r="A3" s="1"/>
      <c r="B3" s="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AL3" s="13" t="s">
        <v>88</v>
      </c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58">
        <v>1500</v>
      </c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9" t="s">
        <v>11</v>
      </c>
      <c r="BN3" s="13"/>
    </row>
    <row r="4" spans="1:66" x14ac:dyDescent="0.15">
      <c r="A4" s="1"/>
      <c r="B4" s="1"/>
      <c r="F4" s="13" t="s">
        <v>53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66" x14ac:dyDescent="0.15">
      <c r="A5" s="1"/>
      <c r="B5" s="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66" x14ac:dyDescent="0.15">
      <c r="A6" s="1"/>
      <c r="B6" s="1"/>
      <c r="H6" s="16" t="s">
        <v>8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6" t="s">
        <v>12</v>
      </c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40"/>
    </row>
    <row r="7" spans="1:66" x14ac:dyDescent="0.15">
      <c r="A7" s="1"/>
      <c r="B7" s="1"/>
      <c r="H7" s="16" t="s">
        <v>5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6" t="s">
        <v>13</v>
      </c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40"/>
    </row>
    <row r="8" spans="1:66" x14ac:dyDescent="0.15">
      <c r="A8" s="1"/>
      <c r="B8" s="1"/>
      <c r="H8" s="21" t="s">
        <v>6</v>
      </c>
      <c r="I8" s="22"/>
      <c r="J8" s="22"/>
      <c r="K8" s="22"/>
      <c r="L8" s="22"/>
      <c r="M8" s="22"/>
      <c r="N8" s="22"/>
      <c r="O8" s="22"/>
      <c r="P8" s="23"/>
      <c r="Q8" s="14" t="s">
        <v>9</v>
      </c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21" t="s">
        <v>6</v>
      </c>
      <c r="AJ8" s="22"/>
      <c r="AK8" s="22"/>
      <c r="AL8" s="22"/>
      <c r="AM8" s="22"/>
      <c r="AN8" s="22"/>
      <c r="AO8" s="22"/>
      <c r="AP8" s="22"/>
      <c r="AQ8" s="23"/>
      <c r="AR8" s="14" t="s">
        <v>9</v>
      </c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36"/>
    </row>
    <row r="9" spans="1:66" x14ac:dyDescent="0.15">
      <c r="A9" s="1"/>
      <c r="B9" s="1"/>
      <c r="H9" s="18" t="s">
        <v>7</v>
      </c>
      <c r="I9" s="19"/>
      <c r="J9" s="19"/>
      <c r="K9" s="19"/>
      <c r="L9" s="19"/>
      <c r="M9" s="19"/>
      <c r="N9" s="19"/>
      <c r="O9" s="19"/>
      <c r="P9" s="20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8" t="s">
        <v>7</v>
      </c>
      <c r="AJ9" s="19"/>
      <c r="AK9" s="19"/>
      <c r="AL9" s="19"/>
      <c r="AM9" s="19"/>
      <c r="AN9" s="19"/>
      <c r="AO9" s="19"/>
      <c r="AP9" s="19"/>
      <c r="AQ9" s="20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37"/>
    </row>
    <row r="10" spans="1:66" x14ac:dyDescent="0.15">
      <c r="A10" s="1"/>
      <c r="B10" s="1"/>
      <c r="H10" s="25">
        <v>18</v>
      </c>
      <c r="I10" s="26"/>
      <c r="J10" s="26"/>
      <c r="K10" s="26"/>
      <c r="L10" s="26"/>
      <c r="M10" s="26"/>
      <c r="N10" s="26"/>
      <c r="O10" s="26"/>
      <c r="P10" s="27"/>
      <c r="Q10" s="26">
        <f>$AY$2+$AY$3</f>
        <v>15400</v>
      </c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5">
        <v>18</v>
      </c>
      <c r="AJ10" s="26"/>
      <c r="AK10" s="26"/>
      <c r="AL10" s="26"/>
      <c r="AM10" s="26"/>
      <c r="AN10" s="26"/>
      <c r="AO10" s="26"/>
      <c r="AP10" s="26"/>
      <c r="AQ10" s="27"/>
      <c r="AR10" s="26">
        <f>$AY$2+1000+$AY$3</f>
        <v>16400</v>
      </c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7"/>
    </row>
    <row r="11" spans="1:66" x14ac:dyDescent="0.15">
      <c r="A11" s="1"/>
      <c r="B11" s="1"/>
      <c r="H11" s="28">
        <v>21</v>
      </c>
      <c r="I11" s="24"/>
      <c r="J11" s="24"/>
      <c r="K11" s="24"/>
      <c r="L11" s="24"/>
      <c r="M11" s="24"/>
      <c r="N11" s="24"/>
      <c r="O11" s="24"/>
      <c r="P11" s="29"/>
      <c r="Q11" s="24">
        <f>$AY$2+300+$AY$3</f>
        <v>15700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8">
        <v>21</v>
      </c>
      <c r="AJ11" s="24"/>
      <c r="AK11" s="24"/>
      <c r="AL11" s="24"/>
      <c r="AM11" s="24"/>
      <c r="AN11" s="24"/>
      <c r="AO11" s="24"/>
      <c r="AP11" s="24"/>
      <c r="AQ11" s="29"/>
      <c r="AR11" s="24">
        <f>$AY$2+1400+$AY$3</f>
        <v>16800</v>
      </c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9"/>
    </row>
    <row r="12" spans="1:66" x14ac:dyDescent="0.15">
      <c r="A12" s="1"/>
      <c r="B12" s="1"/>
      <c r="H12" s="28">
        <v>24</v>
      </c>
      <c r="I12" s="24"/>
      <c r="J12" s="24"/>
      <c r="K12" s="24"/>
      <c r="L12" s="24"/>
      <c r="M12" s="24"/>
      <c r="N12" s="24"/>
      <c r="O12" s="24"/>
      <c r="P12" s="29"/>
      <c r="Q12" s="24">
        <f>$AY$2+600+$AY$3</f>
        <v>16000</v>
      </c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8">
        <v>24</v>
      </c>
      <c r="AJ12" s="24"/>
      <c r="AK12" s="24"/>
      <c r="AL12" s="24"/>
      <c r="AM12" s="24"/>
      <c r="AN12" s="24"/>
      <c r="AO12" s="24"/>
      <c r="AP12" s="24"/>
      <c r="AQ12" s="29"/>
      <c r="AR12" s="24">
        <f>$AY$2+1900+$AY$3</f>
        <v>17300</v>
      </c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9"/>
    </row>
    <row r="13" spans="1:66" x14ac:dyDescent="0.15">
      <c r="A13" s="1"/>
      <c r="B13" s="1"/>
      <c r="H13" s="28">
        <v>27</v>
      </c>
      <c r="I13" s="24"/>
      <c r="J13" s="24"/>
      <c r="K13" s="24"/>
      <c r="L13" s="24"/>
      <c r="M13" s="24"/>
      <c r="N13" s="24"/>
      <c r="O13" s="24"/>
      <c r="P13" s="29"/>
      <c r="Q13" s="24">
        <f>$AY$2+900+$AY$3</f>
        <v>16300</v>
      </c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8">
        <v>27</v>
      </c>
      <c r="AJ13" s="24"/>
      <c r="AK13" s="24"/>
      <c r="AL13" s="24"/>
      <c r="AM13" s="24"/>
      <c r="AN13" s="24"/>
      <c r="AO13" s="24"/>
      <c r="AP13" s="24"/>
      <c r="AQ13" s="29"/>
      <c r="AR13" s="24">
        <f>$AY$2+2250+$AY$3</f>
        <v>17650</v>
      </c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9"/>
    </row>
    <row r="14" spans="1:66" x14ac:dyDescent="0.15">
      <c r="A14" s="1"/>
      <c r="B14" s="1"/>
      <c r="H14" s="28">
        <v>30</v>
      </c>
      <c r="I14" s="24"/>
      <c r="J14" s="24"/>
      <c r="K14" s="24"/>
      <c r="L14" s="24"/>
      <c r="M14" s="24"/>
      <c r="N14" s="24"/>
      <c r="O14" s="24"/>
      <c r="P14" s="29"/>
      <c r="Q14" s="24">
        <f>$AY$2+1200+$AY$3</f>
        <v>16600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8">
        <v>30</v>
      </c>
      <c r="AJ14" s="24"/>
      <c r="AK14" s="24"/>
      <c r="AL14" s="24"/>
      <c r="AM14" s="24"/>
      <c r="AN14" s="24"/>
      <c r="AO14" s="24"/>
      <c r="AP14" s="24"/>
      <c r="AQ14" s="29"/>
      <c r="AR14" s="24">
        <f>$AY$2+2700+$AY$3</f>
        <v>18100</v>
      </c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9"/>
    </row>
    <row r="15" spans="1:66" x14ac:dyDescent="0.15">
      <c r="A15" s="1"/>
      <c r="B15" s="1"/>
      <c r="H15" s="43">
        <v>33</v>
      </c>
      <c r="I15" s="38"/>
      <c r="J15" s="38"/>
      <c r="K15" s="38"/>
      <c r="L15" s="38"/>
      <c r="M15" s="38"/>
      <c r="N15" s="38"/>
      <c r="O15" s="38"/>
      <c r="P15" s="39"/>
      <c r="Q15" s="38">
        <f>$AY$2+1700+$AY$3</f>
        <v>17100</v>
      </c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43">
        <v>33</v>
      </c>
      <c r="AJ15" s="38"/>
      <c r="AK15" s="38"/>
      <c r="AL15" s="38"/>
      <c r="AM15" s="38"/>
      <c r="AN15" s="38"/>
      <c r="AO15" s="38"/>
      <c r="AP15" s="38"/>
      <c r="AQ15" s="39"/>
      <c r="AR15" s="38">
        <f>$AY$2+3200+$AY$3</f>
        <v>18600</v>
      </c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9"/>
    </row>
    <row r="16" spans="1:66" x14ac:dyDescent="0.15">
      <c r="A16" s="1"/>
      <c r="B16" s="1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</row>
    <row r="17" spans="1:61" x14ac:dyDescent="0.15">
      <c r="A17" s="1"/>
      <c r="B17" s="1"/>
      <c r="G17" s="13" t="s">
        <v>14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</row>
    <row r="18" spans="1:61" x14ac:dyDescent="0.15">
      <c r="A18" s="1"/>
      <c r="B18" s="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</row>
    <row r="19" spans="1:61" x14ac:dyDescent="0.15">
      <c r="A19" s="1"/>
      <c r="B19" s="1"/>
      <c r="H19" s="41" t="s">
        <v>8</v>
      </c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 t="s">
        <v>12</v>
      </c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</row>
    <row r="20" spans="1:61" x14ac:dyDescent="0.15">
      <c r="A20" s="1"/>
      <c r="B20" s="1"/>
      <c r="H20" s="41" t="s">
        <v>5</v>
      </c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 t="s">
        <v>13</v>
      </c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</row>
    <row r="21" spans="1:61" x14ac:dyDescent="0.15">
      <c r="A21" s="1"/>
      <c r="B21" s="1"/>
      <c r="H21" s="44" t="s">
        <v>6</v>
      </c>
      <c r="I21" s="45"/>
      <c r="J21" s="45"/>
      <c r="K21" s="45"/>
      <c r="L21" s="45"/>
      <c r="M21" s="45"/>
      <c r="N21" s="45"/>
      <c r="O21" s="45"/>
      <c r="P21" s="45"/>
      <c r="Q21" s="41" t="s">
        <v>51</v>
      </c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4" t="s">
        <v>6</v>
      </c>
      <c r="AJ21" s="45"/>
      <c r="AK21" s="45"/>
      <c r="AL21" s="45"/>
      <c r="AM21" s="45"/>
      <c r="AN21" s="45"/>
      <c r="AO21" s="45"/>
      <c r="AP21" s="45"/>
      <c r="AQ21" s="45"/>
      <c r="AR21" s="41" t="s">
        <v>51</v>
      </c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</row>
    <row r="22" spans="1:61" x14ac:dyDescent="0.15">
      <c r="A22" s="1"/>
      <c r="B22" s="1"/>
      <c r="H22" s="46" t="s">
        <v>7</v>
      </c>
      <c r="I22" s="46"/>
      <c r="J22" s="46"/>
      <c r="K22" s="46"/>
      <c r="L22" s="46"/>
      <c r="M22" s="46"/>
      <c r="N22" s="46"/>
      <c r="O22" s="46"/>
      <c r="P22" s="46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6" t="s">
        <v>7</v>
      </c>
      <c r="AJ22" s="46"/>
      <c r="AK22" s="46"/>
      <c r="AL22" s="46"/>
      <c r="AM22" s="46"/>
      <c r="AN22" s="46"/>
      <c r="AO22" s="46"/>
      <c r="AP22" s="46"/>
      <c r="AQ22" s="46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</row>
    <row r="23" spans="1:61" x14ac:dyDescent="0.15">
      <c r="A23" s="1"/>
      <c r="B23" s="1"/>
      <c r="H23" s="42">
        <v>27</v>
      </c>
      <c r="I23" s="42"/>
      <c r="J23" s="42"/>
      <c r="K23" s="42"/>
      <c r="L23" s="42"/>
      <c r="M23" s="42"/>
      <c r="N23" s="42"/>
      <c r="O23" s="42"/>
      <c r="P23" s="42"/>
      <c r="Q23" s="42">
        <f>$AY$2+1700+$AY$3</f>
        <v>17100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>
        <v>27</v>
      </c>
      <c r="AJ23" s="42"/>
      <c r="AK23" s="42"/>
      <c r="AL23" s="42"/>
      <c r="AM23" s="42"/>
      <c r="AN23" s="42"/>
      <c r="AO23" s="42"/>
      <c r="AP23" s="42"/>
      <c r="AQ23" s="42"/>
      <c r="AR23" s="42">
        <f>$AY$2+3050+$AY$3</f>
        <v>18450</v>
      </c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</row>
    <row r="24" spans="1:61" x14ac:dyDescent="0.15">
      <c r="A24" s="1"/>
      <c r="B24" s="1"/>
      <c r="H24" s="47">
        <v>30</v>
      </c>
      <c r="I24" s="47"/>
      <c r="J24" s="47"/>
      <c r="K24" s="47"/>
      <c r="L24" s="47"/>
      <c r="M24" s="47"/>
      <c r="N24" s="47"/>
      <c r="O24" s="47"/>
      <c r="P24" s="47"/>
      <c r="Q24" s="47">
        <f>$AY$2+2000+$AY$3</f>
        <v>17400</v>
      </c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>
        <v>30</v>
      </c>
      <c r="AJ24" s="47"/>
      <c r="AK24" s="47"/>
      <c r="AL24" s="47"/>
      <c r="AM24" s="47"/>
      <c r="AN24" s="47"/>
      <c r="AO24" s="47"/>
      <c r="AP24" s="47"/>
      <c r="AQ24" s="47"/>
      <c r="AR24" s="47">
        <f>$AY$2+3500+$AY$3</f>
        <v>18900</v>
      </c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</row>
    <row r="25" spans="1:61" x14ac:dyDescent="0.15">
      <c r="A25" s="1"/>
      <c r="B25" s="1"/>
      <c r="H25" s="47">
        <v>33</v>
      </c>
      <c r="I25" s="47"/>
      <c r="J25" s="47"/>
      <c r="K25" s="47"/>
      <c r="L25" s="47"/>
      <c r="M25" s="47"/>
      <c r="N25" s="47"/>
      <c r="O25" s="47"/>
      <c r="P25" s="47"/>
      <c r="Q25" s="47">
        <f>$AY$2+2500+$AY$3</f>
        <v>17900</v>
      </c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>
        <v>33</v>
      </c>
      <c r="AJ25" s="47"/>
      <c r="AK25" s="47"/>
      <c r="AL25" s="47"/>
      <c r="AM25" s="47"/>
      <c r="AN25" s="47"/>
      <c r="AO25" s="47"/>
      <c r="AP25" s="47"/>
      <c r="AQ25" s="47"/>
      <c r="AR25" s="47">
        <f>$AY$2+4000+$AY$3</f>
        <v>19400</v>
      </c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</row>
    <row r="26" spans="1:61" x14ac:dyDescent="0.15">
      <c r="A26" s="1"/>
      <c r="B26" s="1"/>
      <c r="H26" s="47">
        <v>36</v>
      </c>
      <c r="I26" s="47"/>
      <c r="J26" s="47"/>
      <c r="K26" s="47"/>
      <c r="L26" s="47"/>
      <c r="M26" s="47"/>
      <c r="N26" s="47"/>
      <c r="O26" s="47"/>
      <c r="P26" s="47"/>
      <c r="Q26" s="47">
        <f>$AY$2+3150+$AY$3</f>
        <v>18550</v>
      </c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>
        <v>36</v>
      </c>
      <c r="AJ26" s="47"/>
      <c r="AK26" s="47"/>
      <c r="AL26" s="47"/>
      <c r="AM26" s="47"/>
      <c r="AN26" s="47"/>
      <c r="AO26" s="47"/>
      <c r="AP26" s="47"/>
      <c r="AQ26" s="47"/>
      <c r="AR26" s="47">
        <f>$AY$2+4800+$AY$3</f>
        <v>20200</v>
      </c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</row>
    <row r="27" spans="1:61" x14ac:dyDescent="0.15">
      <c r="A27" s="1"/>
      <c r="B27" s="1"/>
      <c r="H27" s="47">
        <v>39</v>
      </c>
      <c r="I27" s="47"/>
      <c r="J27" s="47"/>
      <c r="K27" s="47"/>
      <c r="L27" s="47"/>
      <c r="M27" s="47"/>
      <c r="N27" s="47"/>
      <c r="O27" s="47"/>
      <c r="P27" s="47"/>
      <c r="Q27" s="47">
        <f>$AY$2+3650+$AY$3</f>
        <v>19050</v>
      </c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>
        <v>39</v>
      </c>
      <c r="AJ27" s="47"/>
      <c r="AK27" s="47"/>
      <c r="AL27" s="47"/>
      <c r="AM27" s="47"/>
      <c r="AN27" s="47"/>
      <c r="AO27" s="47"/>
      <c r="AP27" s="47"/>
      <c r="AQ27" s="47"/>
      <c r="AR27" s="47">
        <f>$AY$2+5300+$AY$3</f>
        <v>20700</v>
      </c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</row>
    <row r="28" spans="1:61" x14ac:dyDescent="0.15">
      <c r="A28" s="1"/>
      <c r="B28" s="1"/>
      <c r="H28" s="47">
        <v>40</v>
      </c>
      <c r="I28" s="47"/>
      <c r="J28" s="47"/>
      <c r="K28" s="47"/>
      <c r="L28" s="47"/>
      <c r="M28" s="47"/>
      <c r="N28" s="47"/>
      <c r="O28" s="47"/>
      <c r="P28" s="47"/>
      <c r="Q28" s="47">
        <f>$AY$2+3800+$AY$3</f>
        <v>19200</v>
      </c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>
        <v>40</v>
      </c>
      <c r="AJ28" s="47"/>
      <c r="AK28" s="47"/>
      <c r="AL28" s="47"/>
      <c r="AM28" s="47"/>
      <c r="AN28" s="47"/>
      <c r="AO28" s="47"/>
      <c r="AP28" s="47"/>
      <c r="AQ28" s="47"/>
      <c r="AR28" s="47">
        <f>$AY$2+5500+$AY$3</f>
        <v>20900</v>
      </c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</row>
    <row r="29" spans="1:61" x14ac:dyDescent="0.15">
      <c r="A29" s="1"/>
      <c r="B29" s="1"/>
      <c r="H29" s="47">
        <v>42</v>
      </c>
      <c r="I29" s="47"/>
      <c r="J29" s="47"/>
      <c r="K29" s="47"/>
      <c r="L29" s="47"/>
      <c r="M29" s="47"/>
      <c r="N29" s="47"/>
      <c r="O29" s="47"/>
      <c r="P29" s="47"/>
      <c r="Q29" s="47">
        <f>$AY$2+4600+$AY$3</f>
        <v>20000</v>
      </c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>
        <v>42</v>
      </c>
      <c r="AJ29" s="47"/>
      <c r="AK29" s="47"/>
      <c r="AL29" s="47"/>
      <c r="AM29" s="47"/>
      <c r="AN29" s="47"/>
      <c r="AO29" s="47"/>
      <c r="AP29" s="47"/>
      <c r="AQ29" s="47"/>
      <c r="AR29" s="47">
        <f>$AY$2+6400+$AY$3</f>
        <v>21800</v>
      </c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</row>
    <row r="30" spans="1:61" x14ac:dyDescent="0.15">
      <c r="A30" s="1"/>
      <c r="B30" s="1"/>
      <c r="H30" s="48">
        <v>45</v>
      </c>
      <c r="I30" s="48"/>
      <c r="J30" s="48"/>
      <c r="K30" s="48"/>
      <c r="L30" s="48"/>
      <c r="M30" s="48"/>
      <c r="N30" s="48"/>
      <c r="O30" s="48"/>
      <c r="P30" s="48"/>
      <c r="Q30" s="48">
        <f>$AY$2+5000+$AY$3</f>
        <v>20400</v>
      </c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>
        <v>45</v>
      </c>
      <c r="AJ30" s="48"/>
      <c r="AK30" s="48"/>
      <c r="AL30" s="48"/>
      <c r="AM30" s="48"/>
      <c r="AN30" s="48"/>
      <c r="AO30" s="48"/>
      <c r="AP30" s="48"/>
      <c r="AQ30" s="48"/>
      <c r="AR30" s="48">
        <f>$AY$2+7050+$AY$3</f>
        <v>22450</v>
      </c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</row>
    <row r="31" spans="1:61" x14ac:dyDescent="0.15">
      <c r="A31" s="1"/>
      <c r="B31" s="1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x14ac:dyDescent="0.15">
      <c r="A32" s="1"/>
      <c r="B32" s="1"/>
      <c r="G32" s="13" t="s">
        <v>52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</row>
    <row r="33" spans="1:61" x14ac:dyDescent="0.15">
      <c r="A33" s="1"/>
      <c r="B33" s="1"/>
      <c r="H33" s="41" t="s">
        <v>15</v>
      </c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 t="s">
        <v>16</v>
      </c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</row>
    <row r="34" spans="1:61" x14ac:dyDescent="0.15">
      <c r="A34" s="1"/>
      <c r="B34" s="1"/>
      <c r="H34" s="41" t="s">
        <v>5</v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 t="s">
        <v>5</v>
      </c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</row>
    <row r="35" spans="1:61" x14ac:dyDescent="0.15">
      <c r="A35" s="1"/>
      <c r="B35" s="1"/>
      <c r="H35" s="44" t="s">
        <v>6</v>
      </c>
      <c r="I35" s="45"/>
      <c r="J35" s="45"/>
      <c r="K35" s="45"/>
      <c r="L35" s="45"/>
      <c r="M35" s="45"/>
      <c r="N35" s="45"/>
      <c r="O35" s="45"/>
      <c r="P35" s="45"/>
      <c r="Q35" s="41" t="s">
        <v>9</v>
      </c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4" t="s">
        <v>6</v>
      </c>
      <c r="AJ35" s="45"/>
      <c r="AK35" s="45"/>
      <c r="AL35" s="45"/>
      <c r="AM35" s="45"/>
      <c r="AN35" s="45"/>
      <c r="AO35" s="45"/>
      <c r="AP35" s="45"/>
      <c r="AQ35" s="45"/>
      <c r="AR35" s="41" t="s">
        <v>9</v>
      </c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</row>
    <row r="36" spans="1:61" x14ac:dyDescent="0.15">
      <c r="A36" s="1"/>
      <c r="B36" s="1"/>
      <c r="H36" s="46" t="s">
        <v>7</v>
      </c>
      <c r="I36" s="46"/>
      <c r="J36" s="46"/>
      <c r="K36" s="46"/>
      <c r="L36" s="46"/>
      <c r="M36" s="46"/>
      <c r="N36" s="46"/>
      <c r="O36" s="46"/>
      <c r="P36" s="46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6" t="s">
        <v>7</v>
      </c>
      <c r="AJ36" s="46"/>
      <c r="AK36" s="46"/>
      <c r="AL36" s="46"/>
      <c r="AM36" s="46"/>
      <c r="AN36" s="46"/>
      <c r="AO36" s="46"/>
      <c r="AP36" s="46"/>
      <c r="AQ36" s="46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</row>
    <row r="37" spans="1:61" x14ac:dyDescent="0.15">
      <c r="A37" s="1"/>
      <c r="B37" s="1"/>
      <c r="H37" s="42">
        <v>24</v>
      </c>
      <c r="I37" s="42"/>
      <c r="J37" s="42"/>
      <c r="K37" s="42"/>
      <c r="L37" s="42"/>
      <c r="M37" s="42"/>
      <c r="N37" s="42"/>
      <c r="O37" s="42"/>
      <c r="P37" s="42"/>
      <c r="Q37" s="42">
        <f>$AY$2+3350+$AY$3</f>
        <v>18750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>
        <v>24</v>
      </c>
      <c r="AJ37" s="42"/>
      <c r="AK37" s="42"/>
      <c r="AL37" s="42"/>
      <c r="AM37" s="42"/>
      <c r="AN37" s="42"/>
      <c r="AO37" s="42"/>
      <c r="AP37" s="42"/>
      <c r="AQ37" s="42"/>
      <c r="AR37" s="42" t="s">
        <v>46</v>
      </c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</row>
    <row r="38" spans="1:61" x14ac:dyDescent="0.15">
      <c r="A38" s="1"/>
      <c r="B38" s="1"/>
      <c r="H38" s="47">
        <v>27</v>
      </c>
      <c r="I38" s="47"/>
      <c r="J38" s="47"/>
      <c r="K38" s="47"/>
      <c r="L38" s="47"/>
      <c r="M38" s="47"/>
      <c r="N38" s="47"/>
      <c r="O38" s="47"/>
      <c r="P38" s="47"/>
      <c r="Q38" s="47">
        <f>$AY$2+3600+$AY$3</f>
        <v>19000</v>
      </c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>
        <v>27</v>
      </c>
      <c r="AJ38" s="47"/>
      <c r="AK38" s="47"/>
      <c r="AL38" s="47"/>
      <c r="AM38" s="47"/>
      <c r="AN38" s="47"/>
      <c r="AO38" s="47"/>
      <c r="AP38" s="47"/>
      <c r="AQ38" s="47"/>
      <c r="AR38" s="47">
        <f>$AY$2+4400+$AY$3</f>
        <v>19800</v>
      </c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</row>
    <row r="39" spans="1:61" x14ac:dyDescent="0.15">
      <c r="A39" s="1"/>
      <c r="B39" s="1"/>
      <c r="H39" s="47">
        <v>30</v>
      </c>
      <c r="I39" s="47"/>
      <c r="J39" s="47"/>
      <c r="K39" s="47"/>
      <c r="L39" s="47"/>
      <c r="M39" s="47"/>
      <c r="N39" s="47"/>
      <c r="O39" s="47"/>
      <c r="P39" s="47"/>
      <c r="Q39" s="47">
        <f>$AY$2+4050+$AY$3</f>
        <v>19450</v>
      </c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>
        <v>30</v>
      </c>
      <c r="AJ39" s="47"/>
      <c r="AK39" s="47"/>
      <c r="AL39" s="47"/>
      <c r="AM39" s="47"/>
      <c r="AN39" s="47"/>
      <c r="AO39" s="47"/>
      <c r="AP39" s="47"/>
      <c r="AQ39" s="47"/>
      <c r="AR39" s="47">
        <f>$AY$2+4850+$AY$3</f>
        <v>20250</v>
      </c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</row>
    <row r="40" spans="1:61" x14ac:dyDescent="0.15">
      <c r="A40" s="1"/>
      <c r="B40" s="1"/>
      <c r="H40" s="47">
        <v>33</v>
      </c>
      <c r="I40" s="47"/>
      <c r="J40" s="47"/>
      <c r="K40" s="47"/>
      <c r="L40" s="47"/>
      <c r="M40" s="47"/>
      <c r="N40" s="47"/>
      <c r="O40" s="47"/>
      <c r="P40" s="47"/>
      <c r="Q40" s="47">
        <f>$AY$2+4550+$AY$3</f>
        <v>19950</v>
      </c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>
        <v>33</v>
      </c>
      <c r="AJ40" s="47"/>
      <c r="AK40" s="47"/>
      <c r="AL40" s="47"/>
      <c r="AM40" s="47"/>
      <c r="AN40" s="47"/>
      <c r="AO40" s="47"/>
      <c r="AP40" s="47"/>
      <c r="AQ40" s="47"/>
      <c r="AR40" s="47">
        <f>$AY$2+5350+$AY$3</f>
        <v>20750</v>
      </c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</row>
    <row r="41" spans="1:61" x14ac:dyDescent="0.15">
      <c r="A41" s="1"/>
      <c r="B41" s="1"/>
      <c r="H41" s="47">
        <v>36</v>
      </c>
      <c r="I41" s="47"/>
      <c r="J41" s="47"/>
      <c r="K41" s="47"/>
      <c r="L41" s="47"/>
      <c r="M41" s="47"/>
      <c r="N41" s="47"/>
      <c r="O41" s="47"/>
      <c r="P41" s="47"/>
      <c r="Q41" s="47" t="s">
        <v>46</v>
      </c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>
        <v>36</v>
      </c>
      <c r="AJ41" s="47"/>
      <c r="AK41" s="47"/>
      <c r="AL41" s="47"/>
      <c r="AM41" s="47"/>
      <c r="AN41" s="47"/>
      <c r="AO41" s="47"/>
      <c r="AP41" s="47"/>
      <c r="AQ41" s="47"/>
      <c r="AR41" s="47">
        <f>$AY$2+6100+$AY$3</f>
        <v>21500</v>
      </c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</row>
    <row r="42" spans="1:61" x14ac:dyDescent="0.15">
      <c r="A42" s="1"/>
      <c r="B42" s="1"/>
      <c r="H42" s="47">
        <v>39</v>
      </c>
      <c r="I42" s="47"/>
      <c r="J42" s="47"/>
      <c r="K42" s="47"/>
      <c r="L42" s="47"/>
      <c r="M42" s="47"/>
      <c r="N42" s="47"/>
      <c r="O42" s="47"/>
      <c r="P42" s="47"/>
      <c r="Q42" s="47" t="s">
        <v>46</v>
      </c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>
        <v>39</v>
      </c>
      <c r="AJ42" s="47"/>
      <c r="AK42" s="47"/>
      <c r="AL42" s="47"/>
      <c r="AM42" s="47"/>
      <c r="AN42" s="47"/>
      <c r="AO42" s="47"/>
      <c r="AP42" s="47"/>
      <c r="AQ42" s="47"/>
      <c r="AR42" s="47">
        <f>$AY$2+6900+$AY$3</f>
        <v>22300</v>
      </c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</row>
    <row r="43" spans="1:61" x14ac:dyDescent="0.15">
      <c r="A43" s="1"/>
      <c r="B43" s="1"/>
      <c r="H43" s="47">
        <v>40</v>
      </c>
      <c r="I43" s="47"/>
      <c r="J43" s="47"/>
      <c r="K43" s="47"/>
      <c r="L43" s="47"/>
      <c r="M43" s="47"/>
      <c r="N43" s="47"/>
      <c r="O43" s="47"/>
      <c r="P43" s="47"/>
      <c r="Q43" s="47" t="s">
        <v>46</v>
      </c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>
        <v>40</v>
      </c>
      <c r="AJ43" s="47"/>
      <c r="AK43" s="47"/>
      <c r="AL43" s="47"/>
      <c r="AM43" s="47"/>
      <c r="AN43" s="47"/>
      <c r="AO43" s="47"/>
      <c r="AP43" s="47"/>
      <c r="AQ43" s="47"/>
      <c r="AR43" s="47">
        <f>$AY$2+7150+$AY$3</f>
        <v>22550</v>
      </c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</row>
    <row r="44" spans="1:61" x14ac:dyDescent="0.15">
      <c r="A44" s="1"/>
      <c r="B44" s="1"/>
      <c r="H44" s="47">
        <v>42</v>
      </c>
      <c r="I44" s="47"/>
      <c r="J44" s="47"/>
      <c r="K44" s="47"/>
      <c r="L44" s="47"/>
      <c r="M44" s="47"/>
      <c r="N44" s="47"/>
      <c r="O44" s="47"/>
      <c r="P44" s="47"/>
      <c r="Q44" s="47" t="s">
        <v>46</v>
      </c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>
        <v>42</v>
      </c>
      <c r="AJ44" s="47"/>
      <c r="AK44" s="47"/>
      <c r="AL44" s="47"/>
      <c r="AM44" s="47"/>
      <c r="AN44" s="47"/>
      <c r="AO44" s="47"/>
      <c r="AP44" s="47"/>
      <c r="AQ44" s="47"/>
      <c r="AR44" s="47">
        <f>$AY$2+7650+$AY$3</f>
        <v>23050</v>
      </c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</row>
    <row r="45" spans="1:61" x14ac:dyDescent="0.15">
      <c r="A45" s="1"/>
      <c r="B45" s="1"/>
      <c r="H45" s="48">
        <v>45</v>
      </c>
      <c r="I45" s="48"/>
      <c r="J45" s="48"/>
      <c r="K45" s="48"/>
      <c r="L45" s="48"/>
      <c r="M45" s="48"/>
      <c r="N45" s="48"/>
      <c r="O45" s="48"/>
      <c r="P45" s="48"/>
      <c r="Q45" s="48" t="s">
        <v>46</v>
      </c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>
        <v>45</v>
      </c>
      <c r="AJ45" s="48"/>
      <c r="AK45" s="48"/>
      <c r="AL45" s="48"/>
      <c r="AM45" s="48"/>
      <c r="AN45" s="48"/>
      <c r="AO45" s="48"/>
      <c r="AP45" s="48"/>
      <c r="AQ45" s="48"/>
      <c r="AR45" s="48">
        <f>$AY$2+8550+$AY$3</f>
        <v>23950</v>
      </c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</row>
    <row r="46" spans="1:61" x14ac:dyDescent="0.15">
      <c r="A46" s="1"/>
      <c r="B46" s="1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</row>
    <row r="47" spans="1:61" x14ac:dyDescent="0.15">
      <c r="A47" s="3"/>
      <c r="B47" s="3"/>
    </row>
    <row r="48" spans="1:61" x14ac:dyDescent="0.15">
      <c r="A48" s="3"/>
      <c r="B48" s="3"/>
      <c r="G48" t="s">
        <v>56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</row>
    <row r="49" spans="1:60" x14ac:dyDescent="0.15">
      <c r="A49" s="3"/>
      <c r="B49" s="3"/>
      <c r="G49" s="10"/>
      <c r="H49" s="49" t="s">
        <v>20</v>
      </c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</row>
    <row r="50" spans="1:60" x14ac:dyDescent="0.15">
      <c r="A50" s="3"/>
      <c r="B50" s="3"/>
      <c r="H50" s="49" t="s">
        <v>21</v>
      </c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</row>
    <row r="51" spans="1:60" x14ac:dyDescent="0.15">
      <c r="A51" s="3"/>
      <c r="B51" s="3"/>
      <c r="H51" s="55" t="s">
        <v>29</v>
      </c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2" t="s">
        <v>22</v>
      </c>
      <c r="V51" s="53"/>
      <c r="W51" s="53"/>
      <c r="X51" s="53"/>
      <c r="Y51" s="53"/>
      <c r="Z51" s="53"/>
      <c r="AA51" s="53"/>
      <c r="AB51" s="53"/>
      <c r="AC51" s="54" t="s">
        <v>23</v>
      </c>
      <c r="AD51" s="54"/>
      <c r="AE51" s="54"/>
      <c r="AF51" s="54"/>
      <c r="AG51" s="54"/>
      <c r="AH51" s="54"/>
      <c r="AI51" s="54"/>
      <c r="AJ51" s="54"/>
      <c r="AK51" s="54" t="s">
        <v>23</v>
      </c>
      <c r="AL51" s="54"/>
      <c r="AM51" s="54"/>
      <c r="AN51" s="54"/>
      <c r="AO51" s="54"/>
      <c r="AP51" s="54"/>
      <c r="AQ51" s="54"/>
      <c r="AR51" s="54"/>
      <c r="AS51" s="54" t="s">
        <v>23</v>
      </c>
      <c r="AT51" s="54"/>
      <c r="AU51" s="54"/>
      <c r="AV51" s="54"/>
      <c r="AW51" s="54"/>
      <c r="AX51" s="54"/>
      <c r="AY51" s="54"/>
      <c r="AZ51" s="54"/>
      <c r="BA51" s="54" t="s">
        <v>23</v>
      </c>
      <c r="BB51" s="54"/>
      <c r="BC51" s="54"/>
      <c r="BD51" s="54"/>
      <c r="BE51" s="54"/>
      <c r="BF51" s="54"/>
      <c r="BG51" s="54"/>
      <c r="BH51" s="57"/>
    </row>
    <row r="52" spans="1:60" ht="13.5" customHeight="1" x14ac:dyDescent="0.15">
      <c r="A52" s="3"/>
      <c r="B52" s="3"/>
      <c r="H52" s="50" t="s">
        <v>30</v>
      </c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2" t="s">
        <v>24</v>
      </c>
      <c r="V52" s="53"/>
      <c r="W52" s="53"/>
      <c r="X52" s="53"/>
      <c r="Y52" s="53"/>
      <c r="Z52" s="53"/>
      <c r="AA52" s="53"/>
      <c r="AB52" s="53"/>
      <c r="AC52" s="54" t="s">
        <v>25</v>
      </c>
      <c r="AD52" s="54"/>
      <c r="AE52" s="54"/>
      <c r="AF52" s="54"/>
      <c r="AG52" s="54"/>
      <c r="AH52" s="54"/>
      <c r="AI52" s="54"/>
      <c r="AJ52" s="54"/>
      <c r="AK52" s="54" t="s">
        <v>26</v>
      </c>
      <c r="AL52" s="54"/>
      <c r="AM52" s="54"/>
      <c r="AN52" s="54"/>
      <c r="AO52" s="54"/>
      <c r="AP52" s="54"/>
      <c r="AQ52" s="54"/>
      <c r="AR52" s="54"/>
      <c r="AS52" s="54" t="s">
        <v>27</v>
      </c>
      <c r="AT52" s="54"/>
      <c r="AU52" s="54"/>
      <c r="AV52" s="54"/>
      <c r="AW52" s="54"/>
      <c r="AX52" s="54"/>
      <c r="AY52" s="54"/>
      <c r="AZ52" s="54"/>
      <c r="BA52" s="54" t="s">
        <v>28</v>
      </c>
      <c r="BB52" s="54"/>
      <c r="BC52" s="54"/>
      <c r="BD52" s="54"/>
      <c r="BE52" s="54"/>
      <c r="BF52" s="54"/>
      <c r="BG52" s="54"/>
      <c r="BH52" s="57"/>
    </row>
    <row r="53" spans="1:60" ht="13.5" customHeight="1" x14ac:dyDescent="0.15">
      <c r="A53" s="3"/>
      <c r="B53" s="3"/>
      <c r="H53" s="66">
        <v>39</v>
      </c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8"/>
      <c r="U53" s="58">
        <f>$AY$2+5700+$AY$3</f>
        <v>21100</v>
      </c>
      <c r="V53" s="59"/>
      <c r="W53" s="59"/>
      <c r="X53" s="59"/>
      <c r="Y53" s="59"/>
      <c r="Z53" s="59"/>
      <c r="AA53" s="59"/>
      <c r="AB53" s="59"/>
      <c r="AC53" s="59">
        <f>$AY$2+5900+50+$AY$3</f>
        <v>21350</v>
      </c>
      <c r="AD53" s="59"/>
      <c r="AE53" s="59"/>
      <c r="AF53" s="59"/>
      <c r="AG53" s="59"/>
      <c r="AH53" s="59"/>
      <c r="AI53" s="59"/>
      <c r="AJ53" s="59"/>
      <c r="AK53" s="59">
        <f>$AY$2+5900+300+$AY$3</f>
        <v>21600</v>
      </c>
      <c r="AL53" s="59"/>
      <c r="AM53" s="59"/>
      <c r="AN53" s="59"/>
      <c r="AO53" s="59"/>
      <c r="AP53" s="59"/>
      <c r="AQ53" s="59"/>
      <c r="AR53" s="59"/>
      <c r="AS53" s="59">
        <f>$AY$2+5900+550+$AY$3</f>
        <v>21850</v>
      </c>
      <c r="AT53" s="59"/>
      <c r="AU53" s="59"/>
      <c r="AV53" s="59"/>
      <c r="AW53" s="59"/>
      <c r="AX53" s="59"/>
      <c r="AY53" s="59"/>
      <c r="AZ53" s="59"/>
      <c r="BA53" s="59" t="s">
        <v>46</v>
      </c>
      <c r="BB53" s="59"/>
      <c r="BC53" s="59"/>
      <c r="BD53" s="59"/>
      <c r="BE53" s="59"/>
      <c r="BF53" s="59"/>
      <c r="BG53" s="59"/>
      <c r="BH53" s="60"/>
    </row>
    <row r="54" spans="1:60" x14ac:dyDescent="0.15">
      <c r="A54" s="3"/>
      <c r="B54" s="3"/>
      <c r="H54" s="61">
        <v>42</v>
      </c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3"/>
      <c r="U54" s="64">
        <f>$AY$2+6300+$AY$3</f>
        <v>21700</v>
      </c>
      <c r="V54" s="65"/>
      <c r="W54" s="65"/>
      <c r="X54" s="65"/>
      <c r="Y54" s="65"/>
      <c r="Z54" s="65"/>
      <c r="AA54" s="65"/>
      <c r="AB54" s="65"/>
      <c r="AC54" s="65">
        <f>$AY$2+6500+50+$AY$3</f>
        <v>21950</v>
      </c>
      <c r="AD54" s="65"/>
      <c r="AE54" s="65"/>
      <c r="AF54" s="65"/>
      <c r="AG54" s="65"/>
      <c r="AH54" s="65"/>
      <c r="AI54" s="65"/>
      <c r="AJ54" s="65"/>
      <c r="AK54" s="65">
        <f>$AY$2+6500+300+$AY$3</f>
        <v>22200</v>
      </c>
      <c r="AL54" s="65"/>
      <c r="AM54" s="65"/>
      <c r="AN54" s="65"/>
      <c r="AO54" s="65"/>
      <c r="AP54" s="65"/>
      <c r="AQ54" s="65"/>
      <c r="AR54" s="65"/>
      <c r="AS54" s="65">
        <f>$AY$2+6500+550+$AY$3</f>
        <v>22450</v>
      </c>
      <c r="AT54" s="65"/>
      <c r="AU54" s="65"/>
      <c r="AV54" s="65"/>
      <c r="AW54" s="65"/>
      <c r="AX54" s="65"/>
      <c r="AY54" s="65"/>
      <c r="AZ54" s="65"/>
      <c r="BA54" s="65">
        <f>$AY$2+6500+800+$AY$3</f>
        <v>22700</v>
      </c>
      <c r="BB54" s="65"/>
      <c r="BC54" s="65"/>
      <c r="BD54" s="65"/>
      <c r="BE54" s="65"/>
      <c r="BF54" s="65"/>
      <c r="BG54" s="65"/>
      <c r="BH54" s="69"/>
    </row>
    <row r="55" spans="1:60" x14ac:dyDescent="0.15">
      <c r="A55" s="3"/>
      <c r="B55" s="3"/>
      <c r="H55" s="61">
        <v>45</v>
      </c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3"/>
      <c r="U55" s="64">
        <f>$AY$2+7300+$AY$3</f>
        <v>22700</v>
      </c>
      <c r="V55" s="65"/>
      <c r="W55" s="65"/>
      <c r="X55" s="65"/>
      <c r="Y55" s="65"/>
      <c r="Z55" s="65"/>
      <c r="AA55" s="65"/>
      <c r="AB55" s="65"/>
      <c r="AC55" s="65">
        <f>$AY$2+6900+650+$AY$3</f>
        <v>22950</v>
      </c>
      <c r="AD55" s="65"/>
      <c r="AE55" s="65"/>
      <c r="AF55" s="65"/>
      <c r="AG55" s="65"/>
      <c r="AH55" s="65"/>
      <c r="AI55" s="65"/>
      <c r="AJ55" s="65"/>
      <c r="AK55" s="65">
        <f>$AY$2+6900+900+$AY$3</f>
        <v>23200</v>
      </c>
      <c r="AL55" s="65"/>
      <c r="AM55" s="65"/>
      <c r="AN55" s="65"/>
      <c r="AO55" s="65"/>
      <c r="AP55" s="65"/>
      <c r="AQ55" s="65"/>
      <c r="AR55" s="65"/>
      <c r="AS55" s="65">
        <f>$AY$2+6900+1150+$AY$3</f>
        <v>23450</v>
      </c>
      <c r="AT55" s="65"/>
      <c r="AU55" s="65"/>
      <c r="AV55" s="65"/>
      <c r="AW55" s="65"/>
      <c r="AX55" s="65"/>
      <c r="AY55" s="65"/>
      <c r="AZ55" s="65"/>
      <c r="BA55" s="65">
        <f>$AY$2+6900+1400+$AY$3</f>
        <v>23700</v>
      </c>
      <c r="BB55" s="65"/>
      <c r="BC55" s="65"/>
      <c r="BD55" s="65"/>
      <c r="BE55" s="65"/>
      <c r="BF55" s="65"/>
      <c r="BG55" s="65"/>
      <c r="BH55" s="69"/>
    </row>
    <row r="56" spans="1:60" x14ac:dyDescent="0.15">
      <c r="A56" s="3"/>
      <c r="B56" s="3"/>
      <c r="H56" s="61">
        <v>48</v>
      </c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3"/>
      <c r="U56" s="64">
        <f>$AY$2+8100+$AY$3</f>
        <v>23500</v>
      </c>
      <c r="V56" s="65"/>
      <c r="W56" s="65"/>
      <c r="X56" s="65"/>
      <c r="Y56" s="65"/>
      <c r="Z56" s="65"/>
      <c r="AA56" s="65"/>
      <c r="AB56" s="65"/>
      <c r="AC56" s="65">
        <f>$AY$2+7700+650+$AY$3</f>
        <v>23750</v>
      </c>
      <c r="AD56" s="65"/>
      <c r="AE56" s="65"/>
      <c r="AF56" s="65"/>
      <c r="AG56" s="65"/>
      <c r="AH56" s="65"/>
      <c r="AI56" s="65"/>
      <c r="AJ56" s="65"/>
      <c r="AK56" s="65">
        <f>$AY$2+7700+900+$AY$3</f>
        <v>24000</v>
      </c>
      <c r="AL56" s="65"/>
      <c r="AM56" s="65"/>
      <c r="AN56" s="65"/>
      <c r="AO56" s="65"/>
      <c r="AP56" s="65"/>
      <c r="AQ56" s="65"/>
      <c r="AR56" s="65"/>
      <c r="AS56" s="65">
        <f>$AY$2+7700+1150+$AY$3</f>
        <v>24250</v>
      </c>
      <c r="AT56" s="65"/>
      <c r="AU56" s="65"/>
      <c r="AV56" s="65"/>
      <c r="AW56" s="65"/>
      <c r="AX56" s="65"/>
      <c r="AY56" s="65"/>
      <c r="AZ56" s="65"/>
      <c r="BA56" s="65">
        <f>$AY$2+7700+1400+$AY$3</f>
        <v>24500</v>
      </c>
      <c r="BB56" s="65"/>
      <c r="BC56" s="65"/>
      <c r="BD56" s="65"/>
      <c r="BE56" s="65"/>
      <c r="BF56" s="65"/>
      <c r="BG56" s="65"/>
      <c r="BH56" s="69"/>
    </row>
    <row r="57" spans="1:60" x14ac:dyDescent="0.15">
      <c r="A57" s="3"/>
      <c r="B57" s="3"/>
      <c r="H57" s="61">
        <v>51</v>
      </c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3"/>
      <c r="U57" s="64">
        <f>$AY$2+9200+$AY$3</f>
        <v>24600</v>
      </c>
      <c r="V57" s="65"/>
      <c r="W57" s="65"/>
      <c r="X57" s="65"/>
      <c r="Y57" s="65"/>
      <c r="Z57" s="65"/>
      <c r="AA57" s="65"/>
      <c r="AB57" s="65"/>
      <c r="AC57" s="65">
        <f>$AY$2+8800+700+$AY$3</f>
        <v>24900</v>
      </c>
      <c r="AD57" s="65"/>
      <c r="AE57" s="65"/>
      <c r="AF57" s="65"/>
      <c r="AG57" s="65"/>
      <c r="AH57" s="65"/>
      <c r="AI57" s="65"/>
      <c r="AJ57" s="65"/>
      <c r="AK57" s="65">
        <f>$AY$2+8800+1000+$AY$3</f>
        <v>25200</v>
      </c>
      <c r="AL57" s="65"/>
      <c r="AM57" s="65"/>
      <c r="AN57" s="65"/>
      <c r="AO57" s="65"/>
      <c r="AP57" s="65"/>
      <c r="AQ57" s="65"/>
      <c r="AR57" s="65"/>
      <c r="AS57" s="65">
        <f>$AY$2+8800+1300+$AY$3</f>
        <v>25500</v>
      </c>
      <c r="AT57" s="65"/>
      <c r="AU57" s="65"/>
      <c r="AV57" s="65"/>
      <c r="AW57" s="65"/>
      <c r="AX57" s="65"/>
      <c r="AY57" s="65"/>
      <c r="AZ57" s="65"/>
      <c r="BA57" s="65">
        <f>$AY$2+8800+1600+$AY$3</f>
        <v>25800</v>
      </c>
      <c r="BB57" s="65"/>
      <c r="BC57" s="65"/>
      <c r="BD57" s="65"/>
      <c r="BE57" s="65"/>
      <c r="BF57" s="65"/>
      <c r="BG57" s="65"/>
      <c r="BH57" s="69"/>
    </row>
    <row r="58" spans="1:60" x14ac:dyDescent="0.15">
      <c r="A58" s="3"/>
      <c r="B58" s="1"/>
      <c r="H58" s="61">
        <v>54</v>
      </c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3"/>
      <c r="U58" s="64">
        <f>$AY$2+10200+$AY$3</f>
        <v>25600</v>
      </c>
      <c r="V58" s="65"/>
      <c r="W58" s="65"/>
      <c r="X58" s="65"/>
      <c r="Y58" s="65"/>
      <c r="Z58" s="65"/>
      <c r="AA58" s="65"/>
      <c r="AB58" s="65"/>
      <c r="AC58" s="65">
        <f>$AY$2+9800+700+$AY$3</f>
        <v>25900</v>
      </c>
      <c r="AD58" s="65"/>
      <c r="AE58" s="65"/>
      <c r="AF58" s="65"/>
      <c r="AG58" s="65"/>
      <c r="AH58" s="65"/>
      <c r="AI58" s="65"/>
      <c r="AJ58" s="65"/>
      <c r="AK58" s="65">
        <f>$AY$2+9800+1000+$AY$3</f>
        <v>26200</v>
      </c>
      <c r="AL58" s="65"/>
      <c r="AM58" s="65"/>
      <c r="AN58" s="65"/>
      <c r="AO58" s="65"/>
      <c r="AP58" s="65"/>
      <c r="AQ58" s="65"/>
      <c r="AR58" s="65"/>
      <c r="AS58" s="65">
        <f>$AY$2+9800+1300+$AY$3</f>
        <v>26500</v>
      </c>
      <c r="AT58" s="65"/>
      <c r="AU58" s="65"/>
      <c r="AV58" s="65"/>
      <c r="AW58" s="65"/>
      <c r="AX58" s="65"/>
      <c r="AY58" s="65"/>
      <c r="AZ58" s="65"/>
      <c r="BA58" s="65">
        <f>$AY$2+9800+1600+$AY$3</f>
        <v>26800</v>
      </c>
      <c r="BB58" s="65"/>
      <c r="BC58" s="65"/>
      <c r="BD58" s="65"/>
      <c r="BE58" s="65"/>
      <c r="BF58" s="65"/>
      <c r="BG58" s="65"/>
      <c r="BH58" s="69"/>
    </row>
    <row r="59" spans="1:60" x14ac:dyDescent="0.15">
      <c r="A59" s="3"/>
      <c r="B59" s="3"/>
      <c r="H59" s="61">
        <v>57</v>
      </c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3"/>
      <c r="U59" s="64">
        <f>$AY$2+11200+$AY$3</f>
        <v>26600</v>
      </c>
      <c r="V59" s="65"/>
      <c r="W59" s="65"/>
      <c r="X59" s="65"/>
      <c r="Y59" s="65"/>
      <c r="Z59" s="65"/>
      <c r="AA59" s="65"/>
      <c r="AB59" s="65"/>
      <c r="AC59" s="65">
        <f>$AY$2+10800+700+$AY$3</f>
        <v>26900</v>
      </c>
      <c r="AD59" s="65"/>
      <c r="AE59" s="65"/>
      <c r="AF59" s="65"/>
      <c r="AG59" s="65"/>
      <c r="AH59" s="65"/>
      <c r="AI59" s="65"/>
      <c r="AJ59" s="65"/>
      <c r="AK59" s="65">
        <f>$AY$2+10800+1000+$AY$3</f>
        <v>27200</v>
      </c>
      <c r="AL59" s="65"/>
      <c r="AM59" s="65"/>
      <c r="AN59" s="65"/>
      <c r="AO59" s="65"/>
      <c r="AP59" s="65"/>
      <c r="AQ59" s="65"/>
      <c r="AR59" s="65"/>
      <c r="AS59" s="65">
        <f>$AY$2+10800+1300+$AY$3</f>
        <v>27500</v>
      </c>
      <c r="AT59" s="65"/>
      <c r="AU59" s="65"/>
      <c r="AV59" s="65"/>
      <c r="AW59" s="65"/>
      <c r="AX59" s="65"/>
      <c r="AY59" s="65"/>
      <c r="AZ59" s="65"/>
      <c r="BA59" s="65">
        <f>$AY$2+10800+1600+$AY$3</f>
        <v>27800</v>
      </c>
      <c r="BB59" s="65"/>
      <c r="BC59" s="65"/>
      <c r="BD59" s="65"/>
      <c r="BE59" s="65"/>
      <c r="BF59" s="65"/>
      <c r="BG59" s="65"/>
      <c r="BH59" s="69"/>
    </row>
    <row r="60" spans="1:60" x14ac:dyDescent="0.15">
      <c r="A60" s="3"/>
      <c r="B60" s="3"/>
      <c r="H60" s="70">
        <v>60</v>
      </c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2"/>
      <c r="U60" s="73">
        <f>$AY$2+11950+$AY$3</f>
        <v>27350</v>
      </c>
      <c r="V60" s="74"/>
      <c r="W60" s="74"/>
      <c r="X60" s="74"/>
      <c r="Y60" s="74"/>
      <c r="Z60" s="74"/>
      <c r="AA60" s="74"/>
      <c r="AB60" s="74"/>
      <c r="AC60" s="74">
        <f>$AY$2+11600+650+$AY$3</f>
        <v>27650</v>
      </c>
      <c r="AD60" s="74"/>
      <c r="AE60" s="74"/>
      <c r="AF60" s="74"/>
      <c r="AG60" s="74"/>
      <c r="AH60" s="74"/>
      <c r="AI60" s="74"/>
      <c r="AJ60" s="74"/>
      <c r="AK60" s="74">
        <f>$AY$2+11600+950+$AY$3</f>
        <v>27950</v>
      </c>
      <c r="AL60" s="74"/>
      <c r="AM60" s="74"/>
      <c r="AN60" s="74"/>
      <c r="AO60" s="74"/>
      <c r="AP60" s="74"/>
      <c r="AQ60" s="74"/>
      <c r="AR60" s="74"/>
      <c r="AS60" s="74">
        <f>$AY$2+11600+1250+$AY$3</f>
        <v>28250</v>
      </c>
      <c r="AT60" s="74"/>
      <c r="AU60" s="74"/>
      <c r="AV60" s="74"/>
      <c r="AW60" s="74"/>
      <c r="AX60" s="74"/>
      <c r="AY60" s="74"/>
      <c r="AZ60" s="74"/>
      <c r="BA60" s="74">
        <f>$AY$2+11600+1550+$AY$3</f>
        <v>28550</v>
      </c>
      <c r="BB60" s="74"/>
      <c r="BC60" s="74"/>
      <c r="BD60" s="74"/>
      <c r="BE60" s="74"/>
      <c r="BF60" s="74"/>
      <c r="BG60" s="74"/>
      <c r="BH60" s="75"/>
    </row>
    <row r="61" spans="1:60" x14ac:dyDescent="0.15">
      <c r="A61" s="3"/>
      <c r="B61" s="3"/>
    </row>
    <row r="62" spans="1:60" ht="13.5" customHeight="1" x14ac:dyDescent="0.15">
      <c r="A62" s="3"/>
      <c r="B62" s="3"/>
      <c r="H62" s="49" t="s">
        <v>31</v>
      </c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</row>
    <row r="63" spans="1:60" ht="13.5" customHeight="1" x14ac:dyDescent="0.15">
      <c r="A63" s="3"/>
      <c r="B63" s="3"/>
      <c r="H63" s="49" t="s">
        <v>21</v>
      </c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</row>
    <row r="64" spans="1:60" ht="13.5" customHeight="1" x14ac:dyDescent="0.15">
      <c r="A64" s="3"/>
      <c r="B64" s="3"/>
      <c r="H64" s="77" t="s">
        <v>29</v>
      </c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52" t="s">
        <v>22</v>
      </c>
      <c r="V64" s="53"/>
      <c r="W64" s="53"/>
      <c r="X64" s="53"/>
      <c r="Y64" s="53"/>
      <c r="Z64" s="53"/>
      <c r="AA64" s="53"/>
      <c r="AB64" s="53"/>
      <c r="AC64" s="54" t="s">
        <v>23</v>
      </c>
      <c r="AD64" s="54"/>
      <c r="AE64" s="54"/>
      <c r="AF64" s="54"/>
      <c r="AG64" s="54"/>
      <c r="AH64" s="54"/>
      <c r="AI64" s="54"/>
      <c r="AJ64" s="54"/>
      <c r="AK64" s="54" t="s">
        <v>23</v>
      </c>
      <c r="AL64" s="54"/>
      <c r="AM64" s="54"/>
      <c r="AN64" s="54"/>
      <c r="AO64" s="54"/>
      <c r="AP64" s="54"/>
      <c r="AQ64" s="54"/>
      <c r="AR64" s="54"/>
      <c r="AS64" s="54" t="s">
        <v>23</v>
      </c>
      <c r="AT64" s="54"/>
      <c r="AU64" s="54"/>
      <c r="AV64" s="54"/>
      <c r="AW64" s="54"/>
      <c r="AX64" s="54"/>
      <c r="AY64" s="54"/>
      <c r="AZ64" s="54"/>
      <c r="BA64" s="54" t="s">
        <v>23</v>
      </c>
      <c r="BB64" s="54"/>
      <c r="BC64" s="54"/>
      <c r="BD64" s="54"/>
      <c r="BE64" s="54"/>
      <c r="BF64" s="54"/>
      <c r="BG64" s="54"/>
      <c r="BH64" s="57"/>
    </row>
    <row r="65" spans="1:61" ht="13.5" customHeight="1" x14ac:dyDescent="0.15">
      <c r="A65" s="3"/>
      <c r="B65" s="3"/>
      <c r="H65" s="76" t="s">
        <v>30</v>
      </c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52" t="s">
        <v>24</v>
      </c>
      <c r="V65" s="53"/>
      <c r="W65" s="53"/>
      <c r="X65" s="53"/>
      <c r="Y65" s="53"/>
      <c r="Z65" s="53"/>
      <c r="AA65" s="53"/>
      <c r="AB65" s="53"/>
      <c r="AC65" s="54" t="s">
        <v>25</v>
      </c>
      <c r="AD65" s="54"/>
      <c r="AE65" s="54"/>
      <c r="AF65" s="54"/>
      <c r="AG65" s="54"/>
      <c r="AH65" s="54"/>
      <c r="AI65" s="54"/>
      <c r="AJ65" s="54"/>
      <c r="AK65" s="54" t="s">
        <v>26</v>
      </c>
      <c r="AL65" s="54"/>
      <c r="AM65" s="54"/>
      <c r="AN65" s="54"/>
      <c r="AO65" s="54"/>
      <c r="AP65" s="54"/>
      <c r="AQ65" s="54"/>
      <c r="AR65" s="54"/>
      <c r="AS65" s="54" t="s">
        <v>27</v>
      </c>
      <c r="AT65" s="54"/>
      <c r="AU65" s="54"/>
      <c r="AV65" s="54"/>
      <c r="AW65" s="54"/>
      <c r="AX65" s="54"/>
      <c r="AY65" s="54"/>
      <c r="AZ65" s="54"/>
      <c r="BA65" s="54" t="s">
        <v>28</v>
      </c>
      <c r="BB65" s="54"/>
      <c r="BC65" s="54"/>
      <c r="BD65" s="54"/>
      <c r="BE65" s="54"/>
      <c r="BF65" s="54"/>
      <c r="BG65" s="54"/>
      <c r="BH65" s="57"/>
    </row>
    <row r="66" spans="1:61" ht="14.25" customHeight="1" x14ac:dyDescent="0.15">
      <c r="A66" s="3"/>
      <c r="B66" s="3"/>
      <c r="H66" s="80">
        <v>39</v>
      </c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1">
        <f>$AY$2+7100+$AY$3</f>
        <v>22500</v>
      </c>
      <c r="V66" s="59"/>
      <c r="W66" s="59"/>
      <c r="X66" s="59"/>
      <c r="Y66" s="59"/>
      <c r="Z66" s="59"/>
      <c r="AA66" s="59"/>
      <c r="AB66" s="59"/>
      <c r="AC66" s="59">
        <f>$AY$2+7300+50+$AY$3</f>
        <v>22750</v>
      </c>
      <c r="AD66" s="59"/>
      <c r="AE66" s="59"/>
      <c r="AF66" s="59"/>
      <c r="AG66" s="59"/>
      <c r="AH66" s="59"/>
      <c r="AI66" s="59"/>
      <c r="AJ66" s="59"/>
      <c r="AK66" s="59">
        <f>$AY$2+7300+300+$AY$3</f>
        <v>23000</v>
      </c>
      <c r="AL66" s="59"/>
      <c r="AM66" s="59"/>
      <c r="AN66" s="59"/>
      <c r="AO66" s="59"/>
      <c r="AP66" s="59"/>
      <c r="AQ66" s="59"/>
      <c r="AR66" s="59"/>
      <c r="AS66" s="59">
        <f>$AY$2+7300+550+$AY$3</f>
        <v>23250</v>
      </c>
      <c r="AT66" s="59"/>
      <c r="AU66" s="59"/>
      <c r="AV66" s="59"/>
      <c r="AW66" s="59"/>
      <c r="AX66" s="59"/>
      <c r="AY66" s="59"/>
      <c r="AZ66" s="59"/>
      <c r="BA66" s="59">
        <f>$AY$2+7300+800+$AY$3</f>
        <v>23500</v>
      </c>
      <c r="BB66" s="59"/>
      <c r="BC66" s="59"/>
      <c r="BD66" s="59"/>
      <c r="BE66" s="59"/>
      <c r="BF66" s="59"/>
      <c r="BG66" s="59"/>
      <c r="BH66" s="60"/>
    </row>
    <row r="67" spans="1:61" x14ac:dyDescent="0.15">
      <c r="A67" s="3"/>
      <c r="B67" s="3"/>
      <c r="H67" s="78">
        <v>42</v>
      </c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9">
        <f>$AY$2+7700+$AY$3</f>
        <v>23100</v>
      </c>
      <c r="V67" s="65"/>
      <c r="W67" s="65"/>
      <c r="X67" s="65"/>
      <c r="Y67" s="65"/>
      <c r="Z67" s="65"/>
      <c r="AA67" s="65"/>
      <c r="AB67" s="65"/>
      <c r="AC67" s="65">
        <f>$AY$2+7900+50+$AY$3</f>
        <v>23350</v>
      </c>
      <c r="AD67" s="65"/>
      <c r="AE67" s="65"/>
      <c r="AF67" s="65"/>
      <c r="AG67" s="65"/>
      <c r="AH67" s="65"/>
      <c r="AI67" s="65"/>
      <c r="AJ67" s="65"/>
      <c r="AK67" s="65">
        <f>$AY$2+7900+300+$AY$3</f>
        <v>23600</v>
      </c>
      <c r="AL67" s="65"/>
      <c r="AM67" s="65"/>
      <c r="AN67" s="65"/>
      <c r="AO67" s="65"/>
      <c r="AP67" s="65"/>
      <c r="AQ67" s="65"/>
      <c r="AR67" s="65"/>
      <c r="AS67" s="65">
        <f>$AY$2+7900+550+$AY$3</f>
        <v>23850</v>
      </c>
      <c r="AT67" s="65"/>
      <c r="AU67" s="65"/>
      <c r="AV67" s="65"/>
      <c r="AW67" s="65"/>
      <c r="AX67" s="65"/>
      <c r="AY67" s="65"/>
      <c r="AZ67" s="65"/>
      <c r="BA67" s="65">
        <f>$AY$2+7900+800+$AY$3</f>
        <v>24100</v>
      </c>
      <c r="BB67" s="65"/>
      <c r="BC67" s="65"/>
      <c r="BD67" s="65"/>
      <c r="BE67" s="65"/>
      <c r="BF67" s="65"/>
      <c r="BG67" s="65"/>
      <c r="BH67" s="69"/>
    </row>
    <row r="68" spans="1:61" x14ac:dyDescent="0.15">
      <c r="A68" s="3"/>
      <c r="B68" s="3"/>
      <c r="H68" s="78">
        <v>45</v>
      </c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9">
        <f>$AY$2+8300+$AY$3</f>
        <v>23700</v>
      </c>
      <c r="V68" s="65"/>
      <c r="W68" s="65"/>
      <c r="X68" s="65"/>
      <c r="Y68" s="65"/>
      <c r="Z68" s="65"/>
      <c r="AA68" s="65"/>
      <c r="AB68" s="65"/>
      <c r="AC68" s="65">
        <f>$AY$2+8300+250+$AY$3</f>
        <v>23950</v>
      </c>
      <c r="AD68" s="65"/>
      <c r="AE68" s="65"/>
      <c r="AF68" s="65"/>
      <c r="AG68" s="65"/>
      <c r="AH68" s="65"/>
      <c r="AI68" s="65"/>
      <c r="AJ68" s="65"/>
      <c r="AK68" s="65">
        <f>$AY$2+8300+500+$AY$3</f>
        <v>24200</v>
      </c>
      <c r="AL68" s="65"/>
      <c r="AM68" s="65"/>
      <c r="AN68" s="65"/>
      <c r="AO68" s="65"/>
      <c r="AP68" s="65"/>
      <c r="AQ68" s="65"/>
      <c r="AR68" s="65"/>
      <c r="AS68" s="65">
        <f>$AY$2+8300+750+$AY$3</f>
        <v>24450</v>
      </c>
      <c r="AT68" s="65"/>
      <c r="AU68" s="65"/>
      <c r="AV68" s="65"/>
      <c r="AW68" s="65"/>
      <c r="AX68" s="65"/>
      <c r="AY68" s="65"/>
      <c r="AZ68" s="65"/>
      <c r="BA68" s="65">
        <f>$AY$2+8300+1000+$AY$3</f>
        <v>24700</v>
      </c>
      <c r="BB68" s="65"/>
      <c r="BC68" s="65"/>
      <c r="BD68" s="65"/>
      <c r="BE68" s="65"/>
      <c r="BF68" s="65"/>
      <c r="BG68" s="65"/>
      <c r="BH68" s="69"/>
    </row>
    <row r="69" spans="1:61" x14ac:dyDescent="0.15">
      <c r="A69" s="3"/>
      <c r="B69" s="3"/>
      <c r="H69" s="78">
        <v>48</v>
      </c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9">
        <f>$AY$2+9100+$AY$3</f>
        <v>24500</v>
      </c>
      <c r="V69" s="65"/>
      <c r="W69" s="65"/>
      <c r="X69" s="65"/>
      <c r="Y69" s="65"/>
      <c r="Z69" s="65"/>
      <c r="AA69" s="65"/>
      <c r="AB69" s="65"/>
      <c r="AC69" s="65">
        <f>$AY$2+8700+650+$AY$3</f>
        <v>24750</v>
      </c>
      <c r="AD69" s="65"/>
      <c r="AE69" s="65"/>
      <c r="AF69" s="65"/>
      <c r="AG69" s="65"/>
      <c r="AH69" s="65"/>
      <c r="AI69" s="65"/>
      <c r="AJ69" s="65"/>
      <c r="AK69" s="65">
        <f>$AY$2+8700+900+$AY$3</f>
        <v>25000</v>
      </c>
      <c r="AL69" s="65"/>
      <c r="AM69" s="65"/>
      <c r="AN69" s="65"/>
      <c r="AO69" s="65"/>
      <c r="AP69" s="65"/>
      <c r="AQ69" s="65"/>
      <c r="AR69" s="65"/>
      <c r="AS69" s="65">
        <f>$AY$2+8700+1150+$AY$3</f>
        <v>25250</v>
      </c>
      <c r="AT69" s="65"/>
      <c r="AU69" s="65"/>
      <c r="AV69" s="65"/>
      <c r="AW69" s="65"/>
      <c r="AX69" s="65"/>
      <c r="AY69" s="65"/>
      <c r="AZ69" s="65"/>
      <c r="BA69" s="65">
        <f>$AY$2+8700+1400+$AY$3</f>
        <v>25500</v>
      </c>
      <c r="BB69" s="65"/>
      <c r="BC69" s="65"/>
      <c r="BD69" s="65"/>
      <c r="BE69" s="65"/>
      <c r="BF69" s="65"/>
      <c r="BG69" s="65"/>
      <c r="BH69" s="69"/>
    </row>
    <row r="70" spans="1:61" x14ac:dyDescent="0.15">
      <c r="A70" s="3"/>
      <c r="B70" s="3"/>
      <c r="H70" s="78">
        <v>51</v>
      </c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9">
        <f>$AY$2+10200+$AY$3</f>
        <v>25600</v>
      </c>
      <c r="V70" s="65"/>
      <c r="W70" s="65"/>
      <c r="X70" s="65"/>
      <c r="Y70" s="65"/>
      <c r="Z70" s="65"/>
      <c r="AA70" s="65"/>
      <c r="AB70" s="65"/>
      <c r="AC70" s="65">
        <f>$AY$2+9800+650+$AY$3</f>
        <v>25850</v>
      </c>
      <c r="AD70" s="65"/>
      <c r="AE70" s="65"/>
      <c r="AF70" s="65"/>
      <c r="AG70" s="65"/>
      <c r="AH70" s="65"/>
      <c r="AI70" s="65"/>
      <c r="AJ70" s="65"/>
      <c r="AK70" s="65">
        <f>$AY$2+9800+900+$AY$3</f>
        <v>26100</v>
      </c>
      <c r="AL70" s="65"/>
      <c r="AM70" s="65"/>
      <c r="AN70" s="65"/>
      <c r="AO70" s="65"/>
      <c r="AP70" s="65"/>
      <c r="AQ70" s="65"/>
      <c r="AR70" s="65"/>
      <c r="AS70" s="65">
        <f>$AY$2+9800+1150+$AY$3</f>
        <v>26350</v>
      </c>
      <c r="AT70" s="65"/>
      <c r="AU70" s="65"/>
      <c r="AV70" s="65"/>
      <c r="AW70" s="65"/>
      <c r="AX70" s="65"/>
      <c r="AY70" s="65"/>
      <c r="AZ70" s="65"/>
      <c r="BA70" s="65">
        <f>$AY$2+9800+1400+$AY$3</f>
        <v>26600</v>
      </c>
      <c r="BB70" s="65"/>
      <c r="BC70" s="65"/>
      <c r="BD70" s="65"/>
      <c r="BE70" s="65"/>
      <c r="BF70" s="65"/>
      <c r="BG70" s="65"/>
      <c r="BH70" s="69"/>
    </row>
    <row r="71" spans="1:61" x14ac:dyDescent="0.15">
      <c r="A71" s="3"/>
      <c r="B71" s="3"/>
      <c r="H71" s="78">
        <v>54</v>
      </c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9">
        <f>$AY$2+11100+$AY$3</f>
        <v>26500</v>
      </c>
      <c r="V71" s="65"/>
      <c r="W71" s="65"/>
      <c r="X71" s="65"/>
      <c r="Y71" s="65"/>
      <c r="Z71" s="65"/>
      <c r="AA71" s="65"/>
      <c r="AB71" s="65"/>
      <c r="AC71" s="65">
        <f>$AY$2+10800+700+$AY$3</f>
        <v>26900</v>
      </c>
      <c r="AD71" s="65"/>
      <c r="AE71" s="65"/>
      <c r="AF71" s="65"/>
      <c r="AG71" s="65"/>
      <c r="AH71" s="65"/>
      <c r="AI71" s="65"/>
      <c r="AJ71" s="65"/>
      <c r="AK71" s="65">
        <f>$AY$2+10800+1000+$AY$3</f>
        <v>27200</v>
      </c>
      <c r="AL71" s="65"/>
      <c r="AM71" s="65"/>
      <c r="AN71" s="65"/>
      <c r="AO71" s="65"/>
      <c r="AP71" s="65"/>
      <c r="AQ71" s="65"/>
      <c r="AR71" s="65"/>
      <c r="AS71" s="65">
        <f>$AY$2+10800+1300+$AY$3</f>
        <v>27500</v>
      </c>
      <c r="AT71" s="65"/>
      <c r="AU71" s="65"/>
      <c r="AV71" s="65"/>
      <c r="AW71" s="65"/>
      <c r="AX71" s="65"/>
      <c r="AY71" s="65"/>
      <c r="AZ71" s="65"/>
      <c r="BA71" s="65">
        <f>$AY$2+10800+1600+$AY$3</f>
        <v>27800</v>
      </c>
      <c r="BB71" s="65"/>
      <c r="BC71" s="65"/>
      <c r="BD71" s="65"/>
      <c r="BE71" s="65"/>
      <c r="BF71" s="65"/>
      <c r="BG71" s="65"/>
      <c r="BH71" s="69"/>
    </row>
    <row r="72" spans="1:61" x14ac:dyDescent="0.15">
      <c r="A72" s="3"/>
      <c r="B72" s="3"/>
      <c r="H72" s="78">
        <v>57</v>
      </c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9">
        <f>$AY$2+12200+$AY$3</f>
        <v>27600</v>
      </c>
      <c r="V72" s="65"/>
      <c r="W72" s="65"/>
      <c r="X72" s="65"/>
      <c r="Y72" s="65"/>
      <c r="Z72" s="65"/>
      <c r="AA72" s="65"/>
      <c r="AB72" s="65"/>
      <c r="AC72" s="65">
        <f>$AY$2+11800+700+$AY$3</f>
        <v>27900</v>
      </c>
      <c r="AD72" s="65"/>
      <c r="AE72" s="65"/>
      <c r="AF72" s="65"/>
      <c r="AG72" s="65"/>
      <c r="AH72" s="65"/>
      <c r="AI72" s="65"/>
      <c r="AJ72" s="65"/>
      <c r="AK72" s="65">
        <f>$AY$2+11800+1000+$AY$3</f>
        <v>28200</v>
      </c>
      <c r="AL72" s="65"/>
      <c r="AM72" s="65"/>
      <c r="AN72" s="65"/>
      <c r="AO72" s="65"/>
      <c r="AP72" s="65"/>
      <c r="AQ72" s="65"/>
      <c r="AR72" s="65"/>
      <c r="AS72" s="65">
        <f>$AY$2+11800+1300+$AY$3</f>
        <v>28500</v>
      </c>
      <c r="AT72" s="65"/>
      <c r="AU72" s="65"/>
      <c r="AV72" s="65"/>
      <c r="AW72" s="65"/>
      <c r="AX72" s="65"/>
      <c r="AY72" s="65"/>
      <c r="AZ72" s="65"/>
      <c r="BA72" s="65">
        <f>$AY$2+11800+1600+$AY$3</f>
        <v>28800</v>
      </c>
      <c r="BB72" s="65"/>
      <c r="BC72" s="65"/>
      <c r="BD72" s="65"/>
      <c r="BE72" s="65"/>
      <c r="BF72" s="65"/>
      <c r="BG72" s="65"/>
      <c r="BH72" s="69"/>
    </row>
    <row r="73" spans="1:61" x14ac:dyDescent="0.15">
      <c r="A73" s="3"/>
      <c r="B73" s="3"/>
      <c r="H73" s="82">
        <v>60</v>
      </c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3">
        <f>$AY$2+13350+$AY$3</f>
        <v>28750</v>
      </c>
      <c r="V73" s="74"/>
      <c r="W73" s="74"/>
      <c r="X73" s="74"/>
      <c r="Y73" s="74"/>
      <c r="Z73" s="74"/>
      <c r="AA73" s="74"/>
      <c r="AB73" s="74"/>
      <c r="AC73" s="74">
        <f>$AY$2+13000+650+$AY$3</f>
        <v>29050</v>
      </c>
      <c r="AD73" s="74"/>
      <c r="AE73" s="74"/>
      <c r="AF73" s="74"/>
      <c r="AG73" s="74"/>
      <c r="AH73" s="74"/>
      <c r="AI73" s="74"/>
      <c r="AJ73" s="74"/>
      <c r="AK73" s="74">
        <f>$AY$2+13000+950+$AY$3</f>
        <v>29350</v>
      </c>
      <c r="AL73" s="74"/>
      <c r="AM73" s="74"/>
      <c r="AN73" s="74"/>
      <c r="AO73" s="74"/>
      <c r="AP73" s="74"/>
      <c r="AQ73" s="74"/>
      <c r="AR73" s="74"/>
      <c r="AS73" s="74">
        <f>$AY$2+13000+1250+$AY$3</f>
        <v>29650</v>
      </c>
      <c r="AT73" s="74"/>
      <c r="AU73" s="74"/>
      <c r="AV73" s="74"/>
      <c r="AW73" s="74"/>
      <c r="AX73" s="74"/>
      <c r="AY73" s="74"/>
      <c r="AZ73" s="74"/>
      <c r="BA73" s="74">
        <f>$AY$2+13000+1550+$AY$3</f>
        <v>29950</v>
      </c>
      <c r="BB73" s="74"/>
      <c r="BC73" s="74"/>
      <c r="BD73" s="74"/>
      <c r="BE73" s="74"/>
      <c r="BF73" s="74"/>
      <c r="BG73" s="74"/>
      <c r="BH73" s="75"/>
    </row>
    <row r="74" spans="1:61" x14ac:dyDescent="0.15">
      <c r="A74" s="3"/>
      <c r="B74" s="3"/>
    </row>
    <row r="75" spans="1:61" ht="17.25" customHeight="1" x14ac:dyDescent="0.15">
      <c r="A75" s="1"/>
      <c r="B75" s="1"/>
      <c r="G75" s="13" t="s">
        <v>84</v>
      </c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</row>
    <row r="76" spans="1:61" ht="17.25" customHeight="1" x14ac:dyDescent="0.15">
      <c r="A76" s="1"/>
      <c r="B76" s="1"/>
      <c r="G76" s="10"/>
      <c r="H76" s="10"/>
      <c r="I76" s="10" t="s">
        <v>48</v>
      </c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</row>
    <row r="77" spans="1:61" ht="17.25" customHeight="1" x14ac:dyDescent="0.15">
      <c r="A77" s="1"/>
      <c r="B77" s="1"/>
      <c r="H77" s="129" t="s">
        <v>69</v>
      </c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1"/>
      <c r="AI77" s="129" t="s">
        <v>70</v>
      </c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  <c r="BH77" s="130"/>
      <c r="BI77" s="132"/>
    </row>
    <row r="78" spans="1:61" ht="17.25" customHeight="1" x14ac:dyDescent="0.15">
      <c r="A78" s="1"/>
      <c r="B78" s="1"/>
      <c r="H78" s="133" t="s">
        <v>71</v>
      </c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5"/>
      <c r="AI78" s="133" t="s">
        <v>72</v>
      </c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6"/>
    </row>
    <row r="79" spans="1:61" ht="17.25" customHeight="1" x14ac:dyDescent="0.15">
      <c r="A79" s="1"/>
      <c r="B79" s="1"/>
      <c r="H79" s="137" t="s">
        <v>73</v>
      </c>
      <c r="I79" s="138"/>
      <c r="J79" s="138"/>
      <c r="K79" s="138"/>
      <c r="L79" s="138"/>
      <c r="M79" s="138"/>
      <c r="N79" s="138"/>
      <c r="O79" s="138"/>
      <c r="P79" s="138"/>
      <c r="Q79" s="138" t="s">
        <v>74</v>
      </c>
      <c r="R79" s="138"/>
      <c r="S79" s="138"/>
      <c r="T79" s="138"/>
      <c r="U79" s="138"/>
      <c r="V79" s="138"/>
      <c r="W79" s="138"/>
      <c r="X79" s="138"/>
      <c r="Y79" s="139"/>
      <c r="Z79" s="140">
        <f>$AY$2+1800+$AY$3</f>
        <v>17200</v>
      </c>
      <c r="AA79" s="141"/>
      <c r="AB79" s="141"/>
      <c r="AC79" s="141"/>
      <c r="AD79" s="141"/>
      <c r="AE79" s="141"/>
      <c r="AF79" s="141"/>
      <c r="AG79" s="141"/>
      <c r="AH79" s="142"/>
      <c r="AI79" s="137" t="s">
        <v>75</v>
      </c>
      <c r="AJ79" s="138"/>
      <c r="AK79" s="138"/>
      <c r="AL79" s="138"/>
      <c r="AM79" s="138"/>
      <c r="AN79" s="138"/>
      <c r="AO79" s="138"/>
      <c r="AP79" s="138"/>
      <c r="AQ79" s="138"/>
      <c r="AR79" s="138" t="s">
        <v>76</v>
      </c>
      <c r="AS79" s="138"/>
      <c r="AT79" s="138"/>
      <c r="AU79" s="138"/>
      <c r="AV79" s="138"/>
      <c r="AW79" s="138"/>
      <c r="AX79" s="138"/>
      <c r="AY79" s="138"/>
      <c r="AZ79" s="139"/>
      <c r="BA79" s="140">
        <f>$AY$2+3300+$AY$3</f>
        <v>18700</v>
      </c>
      <c r="BB79" s="141"/>
      <c r="BC79" s="141"/>
      <c r="BD79" s="141"/>
      <c r="BE79" s="141"/>
      <c r="BF79" s="141"/>
      <c r="BG79" s="141"/>
      <c r="BH79" s="141"/>
      <c r="BI79" s="143"/>
    </row>
    <row r="80" spans="1:61" ht="17.25" customHeight="1" x14ac:dyDescent="0.15">
      <c r="A80" s="1"/>
      <c r="B80" s="1"/>
      <c r="H80" s="144" t="s">
        <v>19</v>
      </c>
      <c r="I80" s="145"/>
      <c r="J80" s="145"/>
      <c r="K80" s="145"/>
      <c r="L80" s="145"/>
      <c r="M80" s="145"/>
      <c r="N80" s="145"/>
      <c r="O80" s="145"/>
      <c r="P80" s="145"/>
      <c r="Q80" s="145" t="s">
        <v>76</v>
      </c>
      <c r="R80" s="145"/>
      <c r="S80" s="145"/>
      <c r="T80" s="145"/>
      <c r="U80" s="145"/>
      <c r="V80" s="145"/>
      <c r="W80" s="145"/>
      <c r="X80" s="145"/>
      <c r="Y80" s="146"/>
      <c r="Z80" s="147">
        <f>$AY$2+2450+$AY$3</f>
        <v>17850</v>
      </c>
      <c r="AA80" s="148"/>
      <c r="AB80" s="148"/>
      <c r="AC80" s="148"/>
      <c r="AD80" s="148"/>
      <c r="AE80" s="148"/>
      <c r="AF80" s="148"/>
      <c r="AG80" s="148"/>
      <c r="AH80" s="149"/>
      <c r="AI80" s="144" t="s">
        <v>19</v>
      </c>
      <c r="AJ80" s="145"/>
      <c r="AK80" s="145"/>
      <c r="AL80" s="145"/>
      <c r="AM80" s="145"/>
      <c r="AN80" s="145"/>
      <c r="AO80" s="145"/>
      <c r="AP80" s="145"/>
      <c r="AQ80" s="145"/>
      <c r="AR80" s="145" t="s">
        <v>18</v>
      </c>
      <c r="AS80" s="145"/>
      <c r="AT80" s="145"/>
      <c r="AU80" s="145"/>
      <c r="AV80" s="145"/>
      <c r="AW80" s="145"/>
      <c r="AX80" s="145"/>
      <c r="AY80" s="145"/>
      <c r="AZ80" s="146"/>
      <c r="BA80" s="147">
        <f>$AY$2+4000+$AY$3</f>
        <v>19400</v>
      </c>
      <c r="BB80" s="148"/>
      <c r="BC80" s="148"/>
      <c r="BD80" s="148"/>
      <c r="BE80" s="148"/>
      <c r="BF80" s="148"/>
      <c r="BG80" s="148"/>
      <c r="BH80" s="148"/>
      <c r="BI80" s="150"/>
    </row>
    <row r="81" spans="1:61" ht="17.25" customHeight="1" x14ac:dyDescent="0.15">
      <c r="A81" s="1"/>
      <c r="B81" s="1"/>
      <c r="H81" s="144" t="s">
        <v>17</v>
      </c>
      <c r="I81" s="145"/>
      <c r="J81" s="145"/>
      <c r="K81" s="145"/>
      <c r="L81" s="145"/>
      <c r="M81" s="145"/>
      <c r="N81" s="145"/>
      <c r="O81" s="145"/>
      <c r="P81" s="145"/>
      <c r="Q81" s="145" t="s">
        <v>77</v>
      </c>
      <c r="R81" s="145"/>
      <c r="S81" s="145"/>
      <c r="T81" s="145"/>
      <c r="U81" s="145"/>
      <c r="V81" s="145"/>
      <c r="W81" s="145"/>
      <c r="X81" s="145"/>
      <c r="Y81" s="146"/>
      <c r="Z81" s="147">
        <f>$AY$2+800+$AY$3</f>
        <v>16200</v>
      </c>
      <c r="AA81" s="148"/>
      <c r="AB81" s="148"/>
      <c r="AC81" s="148"/>
      <c r="AD81" s="148"/>
      <c r="AE81" s="148"/>
      <c r="AF81" s="148"/>
      <c r="AG81" s="148"/>
      <c r="AH81" s="149"/>
      <c r="AI81" s="144" t="s">
        <v>78</v>
      </c>
      <c r="AJ81" s="145"/>
      <c r="AK81" s="145"/>
      <c r="AL81" s="145"/>
      <c r="AM81" s="145"/>
      <c r="AN81" s="145"/>
      <c r="AO81" s="145"/>
      <c r="AP81" s="145"/>
      <c r="AQ81" s="145"/>
      <c r="AR81" s="145" t="s">
        <v>49</v>
      </c>
      <c r="AS81" s="145"/>
      <c r="AT81" s="145"/>
      <c r="AU81" s="145"/>
      <c r="AV81" s="145"/>
      <c r="AW81" s="145"/>
      <c r="AX81" s="145"/>
      <c r="AY81" s="145"/>
      <c r="AZ81" s="146"/>
      <c r="BA81" s="147">
        <f>$AY$2+2300+$AY$3</f>
        <v>17700</v>
      </c>
      <c r="BB81" s="148"/>
      <c r="BC81" s="148"/>
      <c r="BD81" s="148"/>
      <c r="BE81" s="148"/>
      <c r="BF81" s="148"/>
      <c r="BG81" s="148"/>
      <c r="BH81" s="148"/>
      <c r="BI81" s="150"/>
    </row>
    <row r="82" spans="1:61" ht="17.25" customHeight="1" x14ac:dyDescent="0.15">
      <c r="A82" s="1"/>
      <c r="B82" s="1"/>
      <c r="H82" s="144" t="s">
        <v>79</v>
      </c>
      <c r="I82" s="145"/>
      <c r="J82" s="145"/>
      <c r="K82" s="145"/>
      <c r="L82" s="145"/>
      <c r="M82" s="145"/>
      <c r="N82" s="145"/>
      <c r="O82" s="145"/>
      <c r="P82" s="145"/>
      <c r="Q82" s="145" t="s">
        <v>80</v>
      </c>
      <c r="R82" s="145"/>
      <c r="S82" s="145"/>
      <c r="T82" s="145"/>
      <c r="U82" s="145"/>
      <c r="V82" s="145"/>
      <c r="W82" s="145"/>
      <c r="X82" s="145"/>
      <c r="Y82" s="146"/>
      <c r="Z82" s="147">
        <f>$AY$2+1450+$AY$3</f>
        <v>16850</v>
      </c>
      <c r="AA82" s="148"/>
      <c r="AB82" s="148"/>
      <c r="AC82" s="148"/>
      <c r="AD82" s="148"/>
      <c r="AE82" s="148"/>
      <c r="AF82" s="148"/>
      <c r="AG82" s="148"/>
      <c r="AH82" s="149"/>
      <c r="AI82" s="144" t="s">
        <v>81</v>
      </c>
      <c r="AJ82" s="145"/>
      <c r="AK82" s="145"/>
      <c r="AL82" s="145"/>
      <c r="AM82" s="145"/>
      <c r="AN82" s="145"/>
      <c r="AO82" s="145"/>
      <c r="AP82" s="145"/>
      <c r="AQ82" s="145"/>
      <c r="AR82" s="145" t="s">
        <v>82</v>
      </c>
      <c r="AS82" s="145"/>
      <c r="AT82" s="145"/>
      <c r="AU82" s="145"/>
      <c r="AV82" s="145"/>
      <c r="AW82" s="145"/>
      <c r="AX82" s="145"/>
      <c r="AY82" s="145"/>
      <c r="AZ82" s="146"/>
      <c r="BA82" s="147">
        <f>$AY$2+3000+$AY$3</f>
        <v>18400</v>
      </c>
      <c r="BB82" s="148"/>
      <c r="BC82" s="148"/>
      <c r="BD82" s="148"/>
      <c r="BE82" s="148"/>
      <c r="BF82" s="148"/>
      <c r="BG82" s="148"/>
      <c r="BH82" s="148"/>
      <c r="BI82" s="150"/>
    </row>
    <row r="83" spans="1:61" ht="17.25" customHeight="1" x14ac:dyDescent="0.15">
      <c r="A83" s="1"/>
      <c r="B83" s="1"/>
      <c r="H83" s="144" t="s">
        <v>73</v>
      </c>
      <c r="I83" s="145"/>
      <c r="J83" s="145"/>
      <c r="K83" s="145"/>
      <c r="L83" s="145"/>
      <c r="M83" s="145"/>
      <c r="N83" s="145"/>
      <c r="O83" s="145"/>
      <c r="P83" s="145"/>
      <c r="Q83" s="145" t="s">
        <v>50</v>
      </c>
      <c r="R83" s="145"/>
      <c r="S83" s="145"/>
      <c r="T83" s="145"/>
      <c r="U83" s="145"/>
      <c r="V83" s="145"/>
      <c r="W83" s="145"/>
      <c r="X83" s="145"/>
      <c r="Y83" s="146"/>
      <c r="Z83" s="147">
        <f>$AY$2+4300+$AY$3</f>
        <v>19700</v>
      </c>
      <c r="AA83" s="148"/>
      <c r="AB83" s="148"/>
      <c r="AC83" s="148"/>
      <c r="AD83" s="148"/>
      <c r="AE83" s="148"/>
      <c r="AF83" s="148"/>
      <c r="AG83" s="148"/>
      <c r="AH83" s="149"/>
      <c r="AI83" s="144" t="s">
        <v>73</v>
      </c>
      <c r="AJ83" s="145"/>
      <c r="AK83" s="145"/>
      <c r="AL83" s="145"/>
      <c r="AM83" s="145"/>
      <c r="AN83" s="145"/>
      <c r="AO83" s="145"/>
      <c r="AP83" s="145"/>
      <c r="AQ83" s="145"/>
      <c r="AR83" s="145" t="s">
        <v>50</v>
      </c>
      <c r="AS83" s="145"/>
      <c r="AT83" s="145"/>
      <c r="AU83" s="145"/>
      <c r="AV83" s="145"/>
      <c r="AW83" s="145"/>
      <c r="AX83" s="145"/>
      <c r="AY83" s="145"/>
      <c r="AZ83" s="146"/>
      <c r="BA83" s="147">
        <f>$AY$2+5800+$AY$3</f>
        <v>21200</v>
      </c>
      <c r="BB83" s="148"/>
      <c r="BC83" s="148"/>
      <c r="BD83" s="148"/>
      <c r="BE83" s="148"/>
      <c r="BF83" s="148"/>
      <c r="BG83" s="148"/>
      <c r="BH83" s="148"/>
      <c r="BI83" s="150"/>
    </row>
    <row r="84" spans="1:61" ht="17.25" customHeight="1" x14ac:dyDescent="0.15">
      <c r="A84" s="1"/>
      <c r="B84" s="1"/>
      <c r="H84" s="151" t="s">
        <v>79</v>
      </c>
      <c r="I84" s="152"/>
      <c r="J84" s="152"/>
      <c r="K84" s="152"/>
      <c r="L84" s="152"/>
      <c r="M84" s="152"/>
      <c r="N84" s="152"/>
      <c r="O84" s="152"/>
      <c r="P84" s="152"/>
      <c r="Q84" s="152" t="s">
        <v>50</v>
      </c>
      <c r="R84" s="152"/>
      <c r="S84" s="152"/>
      <c r="T84" s="152"/>
      <c r="U84" s="152"/>
      <c r="V84" s="152"/>
      <c r="W84" s="152"/>
      <c r="X84" s="152"/>
      <c r="Y84" s="153"/>
      <c r="Z84" s="154">
        <f>$AY$2+4950+$AY$3</f>
        <v>20350</v>
      </c>
      <c r="AA84" s="155"/>
      <c r="AB84" s="155"/>
      <c r="AC84" s="155"/>
      <c r="AD84" s="155"/>
      <c r="AE84" s="155"/>
      <c r="AF84" s="155"/>
      <c r="AG84" s="155"/>
      <c r="AH84" s="156"/>
      <c r="AI84" s="151" t="s">
        <v>83</v>
      </c>
      <c r="AJ84" s="152"/>
      <c r="AK84" s="152"/>
      <c r="AL84" s="152"/>
      <c r="AM84" s="152"/>
      <c r="AN84" s="152"/>
      <c r="AO84" s="152"/>
      <c r="AP84" s="152"/>
      <c r="AQ84" s="152"/>
      <c r="AR84" s="152" t="s">
        <v>50</v>
      </c>
      <c r="AS84" s="152"/>
      <c r="AT84" s="152"/>
      <c r="AU84" s="152"/>
      <c r="AV84" s="152"/>
      <c r="AW84" s="152"/>
      <c r="AX84" s="152"/>
      <c r="AY84" s="152"/>
      <c r="AZ84" s="153"/>
      <c r="BA84" s="154">
        <f>$AY$2+6500+$AY$3</f>
        <v>21900</v>
      </c>
      <c r="BB84" s="155"/>
      <c r="BC84" s="155"/>
      <c r="BD84" s="155"/>
      <c r="BE84" s="155"/>
      <c r="BF84" s="155"/>
      <c r="BG84" s="155"/>
      <c r="BH84" s="155"/>
      <c r="BI84" s="157"/>
    </row>
    <row r="85" spans="1:61" ht="17.25" customHeight="1" x14ac:dyDescent="0.15">
      <c r="A85" s="1"/>
      <c r="B85" s="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2"/>
      <c r="AA85" s="12"/>
      <c r="AB85" s="12"/>
      <c r="AC85" s="12"/>
      <c r="AD85" s="12"/>
      <c r="AE85" s="12"/>
      <c r="AF85" s="12"/>
      <c r="AG85" s="12"/>
      <c r="AH85" s="12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2"/>
      <c r="BB85" s="12"/>
      <c r="BC85" s="12"/>
      <c r="BD85" s="12"/>
      <c r="BE85" s="12"/>
      <c r="BF85" s="12"/>
      <c r="BG85" s="12"/>
      <c r="BH85" s="12"/>
      <c r="BI85" s="12"/>
    </row>
    <row r="86" spans="1:61" x14ac:dyDescent="0.15">
      <c r="A86" s="3"/>
      <c r="B86" s="3"/>
      <c r="G86" t="s">
        <v>60</v>
      </c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</row>
    <row r="87" spans="1:61" x14ac:dyDescent="0.15">
      <c r="A87" s="3"/>
      <c r="B87" s="3"/>
      <c r="G87" s="10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9" t="s">
        <v>59</v>
      </c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53" t="s">
        <v>41</v>
      </c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 t="s">
        <v>42</v>
      </c>
      <c r="AR87" s="53"/>
      <c r="AS87" s="53"/>
      <c r="AT87" s="53"/>
      <c r="AU87" s="53"/>
      <c r="AV87" s="53"/>
      <c r="AW87" s="53"/>
      <c r="AX87" s="53"/>
      <c r="AY87" s="53"/>
      <c r="AZ87" s="53"/>
      <c r="BA87" s="88"/>
    </row>
    <row r="88" spans="1:61" x14ac:dyDescent="0.15">
      <c r="A88" s="3"/>
      <c r="B88" s="3"/>
      <c r="H88" s="87" t="s">
        <v>32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1">
        <f>$AY$2+10600+$AY$3</f>
        <v>26000</v>
      </c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>
        <f>$AY$2+12500+$AY$3</f>
        <v>27900</v>
      </c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>
        <f>$AY$2+14300+$AY$3</f>
        <v>29700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60"/>
    </row>
    <row r="89" spans="1:61" ht="13.5" customHeight="1" x14ac:dyDescent="0.15">
      <c r="A89" s="3"/>
      <c r="B89" s="3"/>
      <c r="H89" s="78" t="s">
        <v>33</v>
      </c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9" t="s">
        <v>85</v>
      </c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 t="s">
        <v>85</v>
      </c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 t="s">
        <v>86</v>
      </c>
      <c r="AR89" s="65"/>
      <c r="AS89" s="65"/>
      <c r="AT89" s="65"/>
      <c r="AU89" s="65"/>
      <c r="AV89" s="65"/>
      <c r="AW89" s="65"/>
      <c r="AX89" s="65"/>
      <c r="AY89" s="65"/>
      <c r="AZ89" s="65"/>
      <c r="BA89" s="69"/>
    </row>
    <row r="90" spans="1:61" ht="13.5" customHeight="1" x14ac:dyDescent="0.15">
      <c r="A90" s="3"/>
      <c r="B90" s="3"/>
      <c r="H90" s="85" t="s">
        <v>34</v>
      </c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79">
        <f>$AY$2+5600+$AY$3</f>
        <v>21000</v>
      </c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>
        <f>$AY$2+5600+1300+$AY$3</f>
        <v>22300</v>
      </c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>
        <f>$AY$2+5600+3100+$AY$3</f>
        <v>24100</v>
      </c>
      <c r="AR90" s="65"/>
      <c r="AS90" s="65"/>
      <c r="AT90" s="65"/>
      <c r="AU90" s="65"/>
      <c r="AV90" s="65"/>
      <c r="AW90" s="65"/>
      <c r="AX90" s="65"/>
      <c r="AY90" s="65"/>
      <c r="AZ90" s="65"/>
      <c r="BA90" s="69"/>
    </row>
    <row r="91" spans="1:61" ht="14.25" customHeight="1" x14ac:dyDescent="0.15">
      <c r="A91" s="3"/>
      <c r="B91" s="3"/>
      <c r="H91" s="78" t="s">
        <v>35</v>
      </c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9">
        <f>$AY$2+4300+$AY$3</f>
        <v>19700</v>
      </c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>
        <f>$AY$2+4600+800+$AY$3</f>
        <v>20800</v>
      </c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>
        <f>$AY$2+4600+2600+$AY$3</f>
        <v>22600</v>
      </c>
      <c r="AR91" s="65"/>
      <c r="AS91" s="65"/>
      <c r="AT91" s="65"/>
      <c r="AU91" s="65"/>
      <c r="AV91" s="65"/>
      <c r="AW91" s="65"/>
      <c r="AX91" s="65"/>
      <c r="AY91" s="65"/>
      <c r="AZ91" s="65"/>
      <c r="BA91" s="69"/>
    </row>
    <row r="92" spans="1:61" ht="13.5" customHeight="1" x14ac:dyDescent="0.15">
      <c r="A92" s="3"/>
      <c r="B92" s="3"/>
      <c r="H92" s="85" t="s">
        <v>36</v>
      </c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79">
        <f>$AY$2+3000+$AY$3</f>
        <v>18400</v>
      </c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>
        <f>$AY$2+3600+400+$AY$3</f>
        <v>19400</v>
      </c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>
        <f>$AY$2+3600+2200+$AY$3</f>
        <v>21200</v>
      </c>
      <c r="AR92" s="65"/>
      <c r="AS92" s="65"/>
      <c r="AT92" s="65"/>
      <c r="AU92" s="65"/>
      <c r="AV92" s="65"/>
      <c r="AW92" s="65"/>
      <c r="AX92" s="65"/>
      <c r="AY92" s="65"/>
      <c r="AZ92" s="65"/>
      <c r="BA92" s="69"/>
    </row>
    <row r="93" spans="1:61" ht="13.5" customHeight="1" x14ac:dyDescent="0.15">
      <c r="A93" s="3"/>
      <c r="B93" s="3"/>
      <c r="H93" s="85" t="s">
        <v>37</v>
      </c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79" t="s">
        <v>85</v>
      </c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 t="s">
        <v>85</v>
      </c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 t="s">
        <v>85</v>
      </c>
      <c r="AR93" s="65"/>
      <c r="AS93" s="65"/>
      <c r="AT93" s="65"/>
      <c r="AU93" s="65"/>
      <c r="AV93" s="65"/>
      <c r="AW93" s="65"/>
      <c r="AX93" s="65"/>
      <c r="AY93" s="65"/>
      <c r="AZ93" s="65"/>
      <c r="BA93" s="69"/>
    </row>
    <row r="94" spans="1:61" ht="13.5" customHeight="1" x14ac:dyDescent="0.15">
      <c r="A94" s="3"/>
      <c r="B94" s="3"/>
      <c r="H94" s="85" t="s">
        <v>38</v>
      </c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79">
        <f>$AY$2+1700+$AY$3</f>
        <v>17100</v>
      </c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>
        <f>$AY$2+2600+1400+$AY$3</f>
        <v>19400</v>
      </c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>
        <f>$AY$2+2600+3200+$AY$3</f>
        <v>21200</v>
      </c>
      <c r="AR94" s="65"/>
      <c r="AS94" s="65"/>
      <c r="AT94" s="65"/>
      <c r="AU94" s="65"/>
      <c r="AV94" s="65"/>
      <c r="AW94" s="65"/>
      <c r="AX94" s="65"/>
      <c r="AY94" s="65"/>
      <c r="AZ94" s="65"/>
      <c r="BA94" s="69"/>
    </row>
    <row r="95" spans="1:61" ht="13.5" customHeight="1" x14ac:dyDescent="0.15">
      <c r="A95" s="3"/>
      <c r="B95" s="3"/>
      <c r="H95" s="85" t="s">
        <v>39</v>
      </c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79">
        <f>$AY$2+1050+$AY$3</f>
        <v>16450</v>
      </c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>
        <f>$AY$2+1650+$AY$3</f>
        <v>17050</v>
      </c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>
        <f>$AY$2+1700+1750+$AY$3</f>
        <v>18850</v>
      </c>
      <c r="AR95" s="65"/>
      <c r="AS95" s="65"/>
      <c r="AT95" s="65"/>
      <c r="AU95" s="65"/>
      <c r="AV95" s="65"/>
      <c r="AW95" s="65"/>
      <c r="AX95" s="65"/>
      <c r="AY95" s="65"/>
      <c r="AZ95" s="65"/>
      <c r="BA95" s="69"/>
    </row>
    <row r="96" spans="1:61" ht="13.5" customHeight="1" x14ac:dyDescent="0.15">
      <c r="A96" s="3"/>
      <c r="B96" s="3"/>
      <c r="H96" s="86" t="s">
        <v>40</v>
      </c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3" t="s">
        <v>87</v>
      </c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 t="s">
        <v>85</v>
      </c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 t="s">
        <v>85</v>
      </c>
      <c r="AR96" s="74"/>
      <c r="AS96" s="74"/>
      <c r="AT96" s="74"/>
      <c r="AU96" s="74"/>
      <c r="AV96" s="74"/>
      <c r="AW96" s="74"/>
      <c r="AX96" s="74"/>
      <c r="AY96" s="74"/>
      <c r="AZ96" s="74"/>
      <c r="BA96" s="75"/>
    </row>
    <row r="97" spans="1:49" ht="13.5" customHeight="1" x14ac:dyDescent="0.15">
      <c r="A97" s="3"/>
      <c r="B97" s="3"/>
    </row>
    <row r="98" spans="1:49" x14ac:dyDescent="0.15">
      <c r="A98" s="3"/>
      <c r="B98" s="3"/>
      <c r="G98" t="s">
        <v>43</v>
      </c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49" ht="13.5" customHeight="1" x14ac:dyDescent="0.15">
      <c r="A99" s="3"/>
      <c r="B99" s="1"/>
      <c r="G99" t="s">
        <v>44</v>
      </c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49" x14ac:dyDescent="0.15">
      <c r="A100" s="1"/>
      <c r="B100" s="1"/>
      <c r="G100" t="s">
        <v>45</v>
      </c>
    </row>
    <row r="101" spans="1:49" x14ac:dyDescent="0.15">
      <c r="A101" s="1"/>
      <c r="B101" s="1"/>
      <c r="H101" s="91" t="s">
        <v>1</v>
      </c>
      <c r="I101" s="92"/>
      <c r="J101" s="92"/>
      <c r="K101" s="92"/>
      <c r="L101" s="92"/>
      <c r="M101" s="92"/>
      <c r="N101" s="92"/>
      <c r="O101" s="92"/>
      <c r="P101" s="92"/>
      <c r="Q101" s="93"/>
      <c r="R101" s="97" t="s">
        <v>2</v>
      </c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9"/>
    </row>
    <row r="102" spans="1:49" ht="46.5" customHeight="1" x14ac:dyDescent="0.15">
      <c r="A102" s="1"/>
      <c r="B102" s="1"/>
      <c r="H102" s="94"/>
      <c r="I102" s="95"/>
      <c r="J102" s="95"/>
      <c r="K102" s="95"/>
      <c r="L102" s="95"/>
      <c r="M102" s="95"/>
      <c r="N102" s="95"/>
      <c r="O102" s="95"/>
      <c r="P102" s="95"/>
      <c r="Q102" s="96"/>
      <c r="R102" s="100" t="s">
        <v>3</v>
      </c>
      <c r="S102" s="101"/>
      <c r="T102" s="101"/>
      <c r="U102" s="101"/>
      <c r="V102" s="101"/>
      <c r="W102" s="101"/>
      <c r="X102" s="102" t="s">
        <v>61</v>
      </c>
      <c r="Y102" s="102"/>
      <c r="Z102" s="102"/>
      <c r="AA102" s="102"/>
      <c r="AB102" s="102"/>
      <c r="AC102" s="102"/>
      <c r="AD102" s="102"/>
      <c r="AE102" s="102"/>
      <c r="AF102" s="102"/>
      <c r="AG102" s="103"/>
      <c r="AH102" s="100" t="s">
        <v>3</v>
      </c>
      <c r="AI102" s="101"/>
      <c r="AJ102" s="101"/>
      <c r="AK102" s="101"/>
      <c r="AL102" s="101"/>
      <c r="AM102" s="101"/>
      <c r="AN102" s="102" t="s">
        <v>62</v>
      </c>
      <c r="AO102" s="102"/>
      <c r="AP102" s="102"/>
      <c r="AQ102" s="102"/>
      <c r="AR102" s="102"/>
      <c r="AS102" s="102"/>
      <c r="AT102" s="102"/>
      <c r="AU102" s="102"/>
      <c r="AV102" s="102"/>
      <c r="AW102" s="104"/>
    </row>
    <row r="103" spans="1:49" ht="14.25" customHeight="1" x14ac:dyDescent="0.15">
      <c r="A103" s="1"/>
      <c r="B103" s="1"/>
      <c r="H103" s="105">
        <v>65</v>
      </c>
      <c r="I103" s="106"/>
      <c r="J103" s="106"/>
      <c r="K103" s="106"/>
      <c r="L103" s="106"/>
      <c r="M103" s="106"/>
      <c r="N103" s="106"/>
      <c r="O103" s="106"/>
      <c r="P103" s="106"/>
      <c r="Q103" s="107"/>
      <c r="R103" s="108">
        <v>21</v>
      </c>
      <c r="S103" s="109"/>
      <c r="T103" s="109"/>
      <c r="U103" s="109"/>
      <c r="V103" s="109"/>
      <c r="W103" s="109"/>
      <c r="X103" s="110">
        <f>$AY$2+300+$AY$3</f>
        <v>15700</v>
      </c>
      <c r="Y103" s="110"/>
      <c r="Z103" s="110"/>
      <c r="AA103" s="110"/>
      <c r="AB103" s="110"/>
      <c r="AC103" s="110"/>
      <c r="AD103" s="110"/>
      <c r="AE103" s="110"/>
      <c r="AF103" s="110"/>
      <c r="AG103" s="111"/>
      <c r="AH103" s="108" t="s">
        <v>46</v>
      </c>
      <c r="AI103" s="109"/>
      <c r="AJ103" s="109"/>
      <c r="AK103" s="109"/>
      <c r="AL103" s="109"/>
      <c r="AM103" s="109"/>
      <c r="AN103" s="110" t="s">
        <v>46</v>
      </c>
      <c r="AO103" s="110"/>
      <c r="AP103" s="110"/>
      <c r="AQ103" s="110"/>
      <c r="AR103" s="110"/>
      <c r="AS103" s="110"/>
      <c r="AT103" s="110"/>
      <c r="AU103" s="110"/>
      <c r="AV103" s="110"/>
      <c r="AW103" s="112"/>
    </row>
    <row r="104" spans="1:49" x14ac:dyDescent="0.15">
      <c r="A104" s="1"/>
      <c r="B104" s="1"/>
      <c r="H104" s="113">
        <v>60</v>
      </c>
      <c r="I104" s="114"/>
      <c r="J104" s="114"/>
      <c r="K104" s="114"/>
      <c r="L104" s="114"/>
      <c r="M104" s="114"/>
      <c r="N104" s="114"/>
      <c r="O104" s="114"/>
      <c r="P104" s="114"/>
      <c r="Q104" s="115"/>
      <c r="R104" s="116">
        <v>24</v>
      </c>
      <c r="S104" s="117"/>
      <c r="T104" s="117"/>
      <c r="U104" s="117"/>
      <c r="V104" s="117"/>
      <c r="W104" s="117"/>
      <c r="X104" s="118">
        <f>$AY$2+600+$AY$3</f>
        <v>16000</v>
      </c>
      <c r="Y104" s="118"/>
      <c r="Z104" s="118"/>
      <c r="AA104" s="118"/>
      <c r="AB104" s="118"/>
      <c r="AC104" s="118"/>
      <c r="AD104" s="118"/>
      <c r="AE104" s="118"/>
      <c r="AF104" s="118"/>
      <c r="AG104" s="119"/>
      <c r="AH104" s="116" t="s">
        <v>46</v>
      </c>
      <c r="AI104" s="117"/>
      <c r="AJ104" s="117"/>
      <c r="AK104" s="117"/>
      <c r="AL104" s="117"/>
      <c r="AM104" s="117"/>
      <c r="AN104" s="118" t="s">
        <v>46</v>
      </c>
      <c r="AO104" s="118"/>
      <c r="AP104" s="118"/>
      <c r="AQ104" s="118"/>
      <c r="AR104" s="118"/>
      <c r="AS104" s="118"/>
      <c r="AT104" s="118"/>
      <c r="AU104" s="118"/>
      <c r="AV104" s="118"/>
      <c r="AW104" s="120"/>
    </row>
    <row r="105" spans="1:49" x14ac:dyDescent="0.15">
      <c r="A105" s="1"/>
      <c r="B105" s="1"/>
      <c r="H105" s="113">
        <v>55</v>
      </c>
      <c r="I105" s="114"/>
      <c r="J105" s="114"/>
      <c r="K105" s="114"/>
      <c r="L105" s="114"/>
      <c r="M105" s="114"/>
      <c r="N105" s="114"/>
      <c r="O105" s="114"/>
      <c r="P105" s="114"/>
      <c r="Q105" s="115"/>
      <c r="R105" s="116">
        <v>27</v>
      </c>
      <c r="S105" s="117"/>
      <c r="T105" s="117"/>
      <c r="U105" s="117"/>
      <c r="V105" s="117"/>
      <c r="W105" s="117"/>
      <c r="X105" s="118">
        <f>$AY$2+900+$AY$3</f>
        <v>16300</v>
      </c>
      <c r="Y105" s="118"/>
      <c r="Z105" s="118"/>
      <c r="AA105" s="118"/>
      <c r="AB105" s="118"/>
      <c r="AC105" s="118"/>
      <c r="AD105" s="118"/>
      <c r="AE105" s="118"/>
      <c r="AF105" s="118"/>
      <c r="AG105" s="119"/>
      <c r="AH105" s="116">
        <v>27</v>
      </c>
      <c r="AI105" s="117"/>
      <c r="AJ105" s="117"/>
      <c r="AK105" s="117"/>
      <c r="AL105" s="117"/>
      <c r="AM105" s="117"/>
      <c r="AN105" s="118">
        <f>$AY$2+1700+$AY$3</f>
        <v>17100</v>
      </c>
      <c r="AO105" s="118"/>
      <c r="AP105" s="118"/>
      <c r="AQ105" s="118"/>
      <c r="AR105" s="118"/>
      <c r="AS105" s="118"/>
      <c r="AT105" s="118"/>
      <c r="AU105" s="118"/>
      <c r="AV105" s="118"/>
      <c r="AW105" s="120"/>
    </row>
    <row r="106" spans="1:49" x14ac:dyDescent="0.15">
      <c r="A106" s="1"/>
      <c r="B106" s="1"/>
      <c r="H106" s="121">
        <v>50</v>
      </c>
      <c r="I106" s="122"/>
      <c r="J106" s="122"/>
      <c r="K106" s="122"/>
      <c r="L106" s="122"/>
      <c r="M106" s="122"/>
      <c r="N106" s="122"/>
      <c r="O106" s="122"/>
      <c r="P106" s="122"/>
      <c r="Q106" s="123"/>
      <c r="R106" s="124">
        <v>30</v>
      </c>
      <c r="S106" s="125"/>
      <c r="T106" s="125"/>
      <c r="U106" s="125"/>
      <c r="V106" s="125"/>
      <c r="W106" s="125"/>
      <c r="X106" s="126">
        <f>$AY$2+1200+$AY$3</f>
        <v>16600</v>
      </c>
      <c r="Y106" s="126"/>
      <c r="Z106" s="126"/>
      <c r="AA106" s="126"/>
      <c r="AB106" s="126"/>
      <c r="AC106" s="126"/>
      <c r="AD106" s="126"/>
      <c r="AE106" s="126"/>
      <c r="AF106" s="126"/>
      <c r="AG106" s="127"/>
      <c r="AH106" s="124">
        <v>30</v>
      </c>
      <c r="AI106" s="125"/>
      <c r="AJ106" s="125"/>
      <c r="AK106" s="125"/>
      <c r="AL106" s="125"/>
      <c r="AM106" s="125"/>
      <c r="AN106" s="126">
        <f>$AY$2+2000+$AY$3</f>
        <v>17400</v>
      </c>
      <c r="AO106" s="126"/>
      <c r="AP106" s="126"/>
      <c r="AQ106" s="126"/>
      <c r="AR106" s="126"/>
      <c r="AS106" s="126"/>
      <c r="AT106" s="126"/>
      <c r="AU106" s="126"/>
      <c r="AV106" s="126"/>
      <c r="AW106" s="128"/>
    </row>
    <row r="107" spans="1:49" x14ac:dyDescent="0.15">
      <c r="A107" s="1"/>
      <c r="B107" s="1"/>
    </row>
    <row r="108" spans="1:49" x14ac:dyDescent="0.15">
      <c r="A108" s="1"/>
      <c r="B108" s="1"/>
    </row>
    <row r="109" spans="1:49" x14ac:dyDescent="0.15">
      <c r="A109" s="1"/>
      <c r="B109" s="1"/>
    </row>
    <row r="110" spans="1:49" x14ac:dyDescent="0.15">
      <c r="A110" s="1"/>
      <c r="B110" s="1"/>
    </row>
    <row r="111" spans="1:49" x14ac:dyDescent="0.15">
      <c r="A111" s="1"/>
      <c r="B111" s="1"/>
    </row>
    <row r="112" spans="1:49" x14ac:dyDescent="0.15">
      <c r="A112" s="1"/>
      <c r="B112" s="1"/>
    </row>
    <row r="113" spans="1:2" x14ac:dyDescent="0.15">
      <c r="A113" s="1"/>
      <c r="B113" s="1"/>
    </row>
    <row r="114" spans="1:2" ht="14.25" customHeight="1" x14ac:dyDescent="0.15">
      <c r="A114" s="1"/>
      <c r="B114" s="1"/>
    </row>
    <row r="115" spans="1:2" x14ac:dyDescent="0.15">
      <c r="A115" s="1"/>
      <c r="B115" s="1"/>
    </row>
    <row r="116" spans="1:2" ht="14.25" customHeight="1" x14ac:dyDescent="0.15">
      <c r="A116" s="1"/>
      <c r="B116" s="1"/>
    </row>
    <row r="117" spans="1:2" x14ac:dyDescent="0.15">
      <c r="A117" s="1"/>
      <c r="B117" s="1"/>
    </row>
    <row r="118" spans="1:2" x14ac:dyDescent="0.15">
      <c r="A118" s="1"/>
      <c r="B118" s="1"/>
    </row>
    <row r="119" spans="1:2" x14ac:dyDescent="0.15">
      <c r="A119" s="1"/>
      <c r="B119" s="1"/>
    </row>
    <row r="120" spans="1:2" x14ac:dyDescent="0.15">
      <c r="A120" s="1"/>
      <c r="B120" s="1"/>
    </row>
    <row r="121" spans="1:2" x14ac:dyDescent="0.15">
      <c r="A121" s="1"/>
      <c r="B121" s="1"/>
    </row>
    <row r="122" spans="1:2" x14ac:dyDescent="0.15">
      <c r="A122" s="1"/>
      <c r="B122" s="1"/>
    </row>
    <row r="123" spans="1:2" x14ac:dyDescent="0.15">
      <c r="A123" s="1"/>
      <c r="B123" s="1"/>
    </row>
    <row r="124" spans="1:2" x14ac:dyDescent="0.15">
      <c r="A124" s="1"/>
      <c r="B124" s="1"/>
    </row>
    <row r="125" spans="1:2" x14ac:dyDescent="0.15">
      <c r="A125" s="1"/>
      <c r="B125" s="1"/>
    </row>
    <row r="126" spans="1:2" x14ac:dyDescent="0.15">
      <c r="A126" s="1"/>
      <c r="B126" s="1"/>
    </row>
    <row r="127" spans="1:2" x14ac:dyDescent="0.15">
      <c r="A127" s="1"/>
      <c r="B127" s="1"/>
    </row>
    <row r="128" spans="1:2" x14ac:dyDescent="0.15">
      <c r="A128" s="1"/>
      <c r="B128" s="1"/>
    </row>
    <row r="129" spans="1:2" ht="13.5" customHeight="1" x14ac:dyDescent="0.15">
      <c r="A129" s="1"/>
      <c r="B129" s="1"/>
    </row>
    <row r="130" spans="1:2" ht="13.5" customHeight="1" x14ac:dyDescent="0.15">
      <c r="A130" s="1"/>
      <c r="B130" s="1"/>
    </row>
    <row r="131" spans="1:2" x14ac:dyDescent="0.15">
      <c r="A131" s="1"/>
      <c r="B131" s="1"/>
    </row>
    <row r="132" spans="1:2" x14ac:dyDescent="0.15">
      <c r="A132" s="1"/>
      <c r="B132" s="1"/>
    </row>
    <row r="133" spans="1:2" x14ac:dyDescent="0.15">
      <c r="A133" s="1"/>
      <c r="B133" s="1"/>
    </row>
    <row r="134" spans="1:2" x14ac:dyDescent="0.15">
      <c r="A134" s="1"/>
      <c r="B134" s="1"/>
    </row>
    <row r="135" spans="1:2" x14ac:dyDescent="0.15">
      <c r="A135" s="1"/>
      <c r="B135" s="1"/>
    </row>
  </sheetData>
  <mergeCells count="363">
    <mergeCell ref="H105:Q105"/>
    <mergeCell ref="R105:W105"/>
    <mergeCell ref="X105:AG105"/>
    <mergeCell ref="AH105:AM105"/>
    <mergeCell ref="AN105:AW105"/>
    <mergeCell ref="H106:Q106"/>
    <mergeCell ref="R106:W106"/>
    <mergeCell ref="X106:AG106"/>
    <mergeCell ref="AH106:AM106"/>
    <mergeCell ref="AN106:AW106"/>
    <mergeCell ref="H103:Q103"/>
    <mergeCell ref="R103:W103"/>
    <mergeCell ref="X103:AG103"/>
    <mergeCell ref="AH103:AM103"/>
    <mergeCell ref="AN103:AW103"/>
    <mergeCell ref="H104:Q104"/>
    <mergeCell ref="R104:W104"/>
    <mergeCell ref="X104:AG104"/>
    <mergeCell ref="AH104:AM104"/>
    <mergeCell ref="AN104:AW104"/>
    <mergeCell ref="H101:Q102"/>
    <mergeCell ref="R101:AW101"/>
    <mergeCell ref="R102:W102"/>
    <mergeCell ref="X102:AG102"/>
    <mergeCell ref="AH102:AM102"/>
    <mergeCell ref="AN102:AW102"/>
    <mergeCell ref="H95:T95"/>
    <mergeCell ref="U95:AE95"/>
    <mergeCell ref="AF95:AP95"/>
    <mergeCell ref="AQ95:BA95"/>
    <mergeCell ref="H96:T96"/>
    <mergeCell ref="U96:AE96"/>
    <mergeCell ref="AF96:AP96"/>
    <mergeCell ref="AQ96:BA96"/>
    <mergeCell ref="H93:T93"/>
    <mergeCell ref="U93:AE93"/>
    <mergeCell ref="AF93:AP93"/>
    <mergeCell ref="AQ93:BA93"/>
    <mergeCell ref="H94:T94"/>
    <mergeCell ref="U94:AE94"/>
    <mergeCell ref="AF94:AP94"/>
    <mergeCell ref="AQ94:BA94"/>
    <mergeCell ref="H91:T91"/>
    <mergeCell ref="U91:AE91"/>
    <mergeCell ref="AF91:AP91"/>
    <mergeCell ref="AQ91:BA91"/>
    <mergeCell ref="H92:T92"/>
    <mergeCell ref="U92:AE92"/>
    <mergeCell ref="AF92:AP92"/>
    <mergeCell ref="AQ92:BA92"/>
    <mergeCell ref="H89:T89"/>
    <mergeCell ref="U89:AE89"/>
    <mergeCell ref="AF89:AP89"/>
    <mergeCell ref="AQ89:BA89"/>
    <mergeCell ref="H90:T90"/>
    <mergeCell ref="U90:AE90"/>
    <mergeCell ref="AF90:AP90"/>
    <mergeCell ref="AQ90:BA90"/>
    <mergeCell ref="H87:T87"/>
    <mergeCell ref="U87:AE87"/>
    <mergeCell ref="AF87:AP87"/>
    <mergeCell ref="AQ87:BA87"/>
    <mergeCell ref="H88:T88"/>
    <mergeCell ref="U88:AE88"/>
    <mergeCell ref="AF88:AP88"/>
    <mergeCell ref="AQ88:BA88"/>
    <mergeCell ref="H84:P84"/>
    <mergeCell ref="Q84:Y84"/>
    <mergeCell ref="Z84:AH84"/>
    <mergeCell ref="AI84:AQ84"/>
    <mergeCell ref="AR84:AZ84"/>
    <mergeCell ref="BA84:BI84"/>
    <mergeCell ref="H83:P83"/>
    <mergeCell ref="Q83:Y83"/>
    <mergeCell ref="Z83:AH83"/>
    <mergeCell ref="AI83:AQ83"/>
    <mergeCell ref="AR83:AZ83"/>
    <mergeCell ref="BA83:BI83"/>
    <mergeCell ref="H82:P82"/>
    <mergeCell ref="Q82:Y82"/>
    <mergeCell ref="Z82:AH82"/>
    <mergeCell ref="AI82:AQ82"/>
    <mergeCell ref="AR82:AZ82"/>
    <mergeCell ref="BA82:BI82"/>
    <mergeCell ref="H81:P81"/>
    <mergeCell ref="Q81:Y81"/>
    <mergeCell ref="Z81:AH81"/>
    <mergeCell ref="AI81:AQ81"/>
    <mergeCell ref="AR81:AZ81"/>
    <mergeCell ref="BA81:BI81"/>
    <mergeCell ref="BA79:BI79"/>
    <mergeCell ref="H80:P80"/>
    <mergeCell ref="Q80:Y80"/>
    <mergeCell ref="Z80:AH80"/>
    <mergeCell ref="AI80:AQ80"/>
    <mergeCell ref="AR80:AZ80"/>
    <mergeCell ref="BA80:BI80"/>
    <mergeCell ref="G75:AK75"/>
    <mergeCell ref="H77:AH77"/>
    <mergeCell ref="AI77:BI77"/>
    <mergeCell ref="H78:AH78"/>
    <mergeCell ref="AI78:BI78"/>
    <mergeCell ref="H79:P79"/>
    <mergeCell ref="Q79:Y79"/>
    <mergeCell ref="Z79:AH79"/>
    <mergeCell ref="AI79:AQ79"/>
    <mergeCell ref="AR79:AZ79"/>
    <mergeCell ref="H73:T73"/>
    <mergeCell ref="U73:AB73"/>
    <mergeCell ref="AC73:AJ73"/>
    <mergeCell ref="AK73:AR73"/>
    <mergeCell ref="AS73:AZ73"/>
    <mergeCell ref="BA73:BH73"/>
    <mergeCell ref="H72:T72"/>
    <mergeCell ref="U72:AB72"/>
    <mergeCell ref="AC72:AJ72"/>
    <mergeCell ref="AK72:AR72"/>
    <mergeCell ref="AS72:AZ72"/>
    <mergeCell ref="BA72:BH72"/>
    <mergeCell ref="H71:T71"/>
    <mergeCell ref="U71:AB71"/>
    <mergeCell ref="AC71:AJ71"/>
    <mergeCell ref="AK71:AR71"/>
    <mergeCell ref="AS71:AZ71"/>
    <mergeCell ref="BA71:BH71"/>
    <mergeCell ref="H70:T70"/>
    <mergeCell ref="U70:AB70"/>
    <mergeCell ref="AC70:AJ70"/>
    <mergeCell ref="AK70:AR70"/>
    <mergeCell ref="AS70:AZ70"/>
    <mergeCell ref="BA70:BH70"/>
    <mergeCell ref="H69:T69"/>
    <mergeCell ref="U69:AB69"/>
    <mergeCell ref="AC69:AJ69"/>
    <mergeCell ref="AK69:AR69"/>
    <mergeCell ref="AS69:AZ69"/>
    <mergeCell ref="BA69:BH69"/>
    <mergeCell ref="H68:T68"/>
    <mergeCell ref="U68:AB68"/>
    <mergeCell ref="AC68:AJ68"/>
    <mergeCell ref="AK68:AR68"/>
    <mergeCell ref="AS68:AZ68"/>
    <mergeCell ref="BA68:BH68"/>
    <mergeCell ref="H67:T67"/>
    <mergeCell ref="U67:AB67"/>
    <mergeCell ref="AC67:AJ67"/>
    <mergeCell ref="AK67:AR67"/>
    <mergeCell ref="AS67:AZ67"/>
    <mergeCell ref="BA67:BH67"/>
    <mergeCell ref="H66:T66"/>
    <mergeCell ref="U66:AB66"/>
    <mergeCell ref="AC66:AJ66"/>
    <mergeCell ref="AK66:AR66"/>
    <mergeCell ref="AS66:AZ66"/>
    <mergeCell ref="BA66:BH66"/>
    <mergeCell ref="H65:T65"/>
    <mergeCell ref="U65:AB65"/>
    <mergeCell ref="AC65:AJ65"/>
    <mergeCell ref="AK65:AR65"/>
    <mergeCell ref="AS65:AZ65"/>
    <mergeCell ref="BA65:BH65"/>
    <mergeCell ref="H62:BH62"/>
    <mergeCell ref="H63:BH63"/>
    <mergeCell ref="H64:T64"/>
    <mergeCell ref="U64:AB64"/>
    <mergeCell ref="AC64:AJ64"/>
    <mergeCell ref="AK64:AR64"/>
    <mergeCell ref="AS64:AZ64"/>
    <mergeCell ref="BA64:BH64"/>
    <mergeCell ref="H60:T60"/>
    <mergeCell ref="U60:AB60"/>
    <mergeCell ref="AC60:AJ60"/>
    <mergeCell ref="AK60:AR60"/>
    <mergeCell ref="AS60:AZ60"/>
    <mergeCell ref="BA60:BH60"/>
    <mergeCell ref="H59:T59"/>
    <mergeCell ref="U59:AB59"/>
    <mergeCell ref="AC59:AJ59"/>
    <mergeCell ref="AK59:AR59"/>
    <mergeCell ref="AS59:AZ59"/>
    <mergeCell ref="BA59:BH59"/>
    <mergeCell ref="H58:T58"/>
    <mergeCell ref="U58:AB58"/>
    <mergeCell ref="AC58:AJ58"/>
    <mergeCell ref="AK58:AR58"/>
    <mergeCell ref="AS58:AZ58"/>
    <mergeCell ref="BA58:BH58"/>
    <mergeCell ref="H57:T57"/>
    <mergeCell ref="U57:AB57"/>
    <mergeCell ref="AC57:AJ57"/>
    <mergeCell ref="AK57:AR57"/>
    <mergeCell ref="AS57:AZ57"/>
    <mergeCell ref="BA57:BH57"/>
    <mergeCell ref="H56:T56"/>
    <mergeCell ref="U56:AB56"/>
    <mergeCell ref="AC56:AJ56"/>
    <mergeCell ref="AK56:AR56"/>
    <mergeCell ref="AS56:AZ56"/>
    <mergeCell ref="BA56:BH56"/>
    <mergeCell ref="H55:T55"/>
    <mergeCell ref="U55:AB55"/>
    <mergeCell ref="AC55:AJ55"/>
    <mergeCell ref="AK55:AR55"/>
    <mergeCell ref="AS55:AZ55"/>
    <mergeCell ref="BA55:BH55"/>
    <mergeCell ref="H54:T54"/>
    <mergeCell ref="U54:AB54"/>
    <mergeCell ref="AC54:AJ54"/>
    <mergeCell ref="AK54:AR54"/>
    <mergeCell ref="AS54:AZ54"/>
    <mergeCell ref="BA54:BH54"/>
    <mergeCell ref="H53:T53"/>
    <mergeCell ref="U53:AB53"/>
    <mergeCell ref="AC53:AJ53"/>
    <mergeCell ref="AK53:AR53"/>
    <mergeCell ref="AS53:AZ53"/>
    <mergeCell ref="BA53:BH53"/>
    <mergeCell ref="H52:T52"/>
    <mergeCell ref="U52:AB52"/>
    <mergeCell ref="AC52:AJ52"/>
    <mergeCell ref="AK52:AR52"/>
    <mergeCell ref="AS52:AZ52"/>
    <mergeCell ref="BA52:BH52"/>
    <mergeCell ref="H51:T51"/>
    <mergeCell ref="U51:AB51"/>
    <mergeCell ref="AC51:AJ51"/>
    <mergeCell ref="AK51:AR51"/>
    <mergeCell ref="AS51:AZ51"/>
    <mergeCell ref="BA51:BH51"/>
    <mergeCell ref="H45:P45"/>
    <mergeCell ref="Q45:AH45"/>
    <mergeCell ref="AI45:AQ45"/>
    <mergeCell ref="AR45:BI45"/>
    <mergeCell ref="H49:BH49"/>
    <mergeCell ref="H50:BH50"/>
    <mergeCell ref="H43:P43"/>
    <mergeCell ref="Q43:AH43"/>
    <mergeCell ref="AI43:AQ43"/>
    <mergeCell ref="AR43:BI43"/>
    <mergeCell ref="H44:P44"/>
    <mergeCell ref="Q44:AH44"/>
    <mergeCell ref="AI44:AQ44"/>
    <mergeCell ref="AR44:BI44"/>
    <mergeCell ref="H42:P42"/>
    <mergeCell ref="Q42:AH42"/>
    <mergeCell ref="AI42:AQ42"/>
    <mergeCell ref="AR42:BI42"/>
    <mergeCell ref="H39:P39"/>
    <mergeCell ref="Q39:AH39"/>
    <mergeCell ref="AI39:AQ39"/>
    <mergeCell ref="AR39:BI39"/>
    <mergeCell ref="H40:P40"/>
    <mergeCell ref="Q40:AH40"/>
    <mergeCell ref="AI40:AQ40"/>
    <mergeCell ref="AR40:BI40"/>
    <mergeCell ref="H37:P37"/>
    <mergeCell ref="Q37:AH37"/>
    <mergeCell ref="AI37:AQ37"/>
    <mergeCell ref="AR37:BI37"/>
    <mergeCell ref="H38:P38"/>
    <mergeCell ref="Q38:AH38"/>
    <mergeCell ref="AI38:AQ38"/>
    <mergeCell ref="AR38:BI38"/>
    <mergeCell ref="H41:P41"/>
    <mergeCell ref="Q41:AH41"/>
    <mergeCell ref="AI41:AQ41"/>
    <mergeCell ref="AR41:BI41"/>
    <mergeCell ref="G32:AK32"/>
    <mergeCell ref="H33:AH33"/>
    <mergeCell ref="AI33:BI33"/>
    <mergeCell ref="H34:AH34"/>
    <mergeCell ref="AI34:BI34"/>
    <mergeCell ref="H35:P35"/>
    <mergeCell ref="Q35:AH36"/>
    <mergeCell ref="AI35:AQ35"/>
    <mergeCell ref="AR35:BI36"/>
    <mergeCell ref="H36:P36"/>
    <mergeCell ref="AI36:AQ36"/>
    <mergeCell ref="H29:P29"/>
    <mergeCell ref="Q29:AH29"/>
    <mergeCell ref="AI29:AQ29"/>
    <mergeCell ref="AR29:BI29"/>
    <mergeCell ref="H30:P30"/>
    <mergeCell ref="Q30:AH30"/>
    <mergeCell ref="AI30:AQ30"/>
    <mergeCell ref="AR30:BI30"/>
    <mergeCell ref="H27:P27"/>
    <mergeCell ref="Q27:AH27"/>
    <mergeCell ref="AI27:AQ27"/>
    <mergeCell ref="AR27:BI27"/>
    <mergeCell ref="H28:P28"/>
    <mergeCell ref="Q28:AH28"/>
    <mergeCell ref="AI28:AQ28"/>
    <mergeCell ref="AR28:BI28"/>
    <mergeCell ref="H25:P25"/>
    <mergeCell ref="Q25:AH25"/>
    <mergeCell ref="AI25:AQ25"/>
    <mergeCell ref="AR25:BI25"/>
    <mergeCell ref="H26:P26"/>
    <mergeCell ref="Q26:AH26"/>
    <mergeCell ref="AI26:AQ26"/>
    <mergeCell ref="AR26:BI26"/>
    <mergeCell ref="AI22:AQ22"/>
    <mergeCell ref="H23:P23"/>
    <mergeCell ref="Q23:AH23"/>
    <mergeCell ref="AI23:AQ23"/>
    <mergeCell ref="AR23:BI23"/>
    <mergeCell ref="H24:P24"/>
    <mergeCell ref="Q24:AH24"/>
    <mergeCell ref="AI24:AQ24"/>
    <mergeCell ref="AR24:BI24"/>
    <mergeCell ref="G17:AM17"/>
    <mergeCell ref="H19:AH19"/>
    <mergeCell ref="AI19:BI19"/>
    <mergeCell ref="H20:AH20"/>
    <mergeCell ref="AI20:BI20"/>
    <mergeCell ref="H21:P21"/>
    <mergeCell ref="Q21:AH22"/>
    <mergeCell ref="AI21:AQ21"/>
    <mergeCell ref="AR21:BI22"/>
    <mergeCell ref="H22:P22"/>
    <mergeCell ref="H14:P14"/>
    <mergeCell ref="Q14:AH14"/>
    <mergeCell ref="AI14:AQ14"/>
    <mergeCell ref="AR14:BI14"/>
    <mergeCell ref="H15:P15"/>
    <mergeCell ref="Q15:AH15"/>
    <mergeCell ref="AI15:AQ15"/>
    <mergeCell ref="AR15:BI15"/>
    <mergeCell ref="H12:P12"/>
    <mergeCell ref="Q12:AH12"/>
    <mergeCell ref="AI12:AQ12"/>
    <mergeCell ref="AR12:BI12"/>
    <mergeCell ref="H13:P13"/>
    <mergeCell ref="Q13:AH13"/>
    <mergeCell ref="AI13:AQ13"/>
    <mergeCell ref="AR13:BI13"/>
    <mergeCell ref="H10:P10"/>
    <mergeCell ref="Q10:AH10"/>
    <mergeCell ref="AI10:AQ10"/>
    <mergeCell ref="AR10:BI10"/>
    <mergeCell ref="H11:P11"/>
    <mergeCell ref="Q11:AH11"/>
    <mergeCell ref="AI11:AQ11"/>
    <mergeCell ref="AR11:BI11"/>
    <mergeCell ref="H7:AH7"/>
    <mergeCell ref="AI7:BI7"/>
    <mergeCell ref="H8:P8"/>
    <mergeCell ref="Q8:AH9"/>
    <mergeCell ref="AI8:AQ8"/>
    <mergeCell ref="AR8:BI9"/>
    <mergeCell ref="H9:P9"/>
    <mergeCell ref="AI9:AQ9"/>
    <mergeCell ref="C2:M2"/>
    <mergeCell ref="AK2:AX2"/>
    <mergeCell ref="AY2:BL2"/>
    <mergeCell ref="BM2:BN2"/>
    <mergeCell ref="F4:AH4"/>
    <mergeCell ref="H6:AH6"/>
    <mergeCell ref="AI6:BI6"/>
    <mergeCell ref="AY3:BL3"/>
    <mergeCell ref="BM3:BN3"/>
    <mergeCell ref="AL3:AX3"/>
  </mergeCells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N135"/>
  <sheetViews>
    <sheetView workbookViewId="0">
      <selection activeCell="AY4" sqref="AY4"/>
    </sheetView>
  </sheetViews>
  <sheetFormatPr defaultColWidth="1.375" defaultRowHeight="13.5" x14ac:dyDescent="0.15"/>
  <sheetData>
    <row r="1" spans="1:66" ht="14.25" thickBot="1" x14ac:dyDescent="0.2"/>
    <row r="2" spans="1:66" ht="18.75" thickTop="1" thickBot="1" x14ac:dyDescent="0.25">
      <c r="A2" s="1"/>
      <c r="B2" s="2" t="s">
        <v>0</v>
      </c>
      <c r="C2" s="13" t="s">
        <v>4</v>
      </c>
      <c r="D2" s="13"/>
      <c r="E2" s="13"/>
      <c r="F2" s="13"/>
      <c r="G2" s="13"/>
      <c r="H2" s="13"/>
      <c r="I2" s="13"/>
      <c r="J2" s="13"/>
      <c r="K2" s="13"/>
      <c r="L2" s="13"/>
      <c r="M2" s="13"/>
      <c r="AK2" s="33" t="s">
        <v>10</v>
      </c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4"/>
      <c r="AY2" s="30">
        <v>13900</v>
      </c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2"/>
      <c r="BM2" s="35" t="s">
        <v>11</v>
      </c>
      <c r="BN2" s="13"/>
    </row>
    <row r="3" spans="1:66" ht="18" thickTop="1" x14ac:dyDescent="0.2">
      <c r="A3" s="1"/>
      <c r="B3" s="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AL3" s="13" t="s">
        <v>89</v>
      </c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58">
        <v>500</v>
      </c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9" t="s">
        <v>11</v>
      </c>
      <c r="BN3" s="13"/>
    </row>
    <row r="4" spans="1:66" x14ac:dyDescent="0.15">
      <c r="A4" s="1"/>
      <c r="B4" s="1"/>
      <c r="F4" s="13" t="s">
        <v>53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66" x14ac:dyDescent="0.15">
      <c r="A5" s="1"/>
      <c r="B5" s="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66" x14ac:dyDescent="0.15">
      <c r="A6" s="1"/>
      <c r="B6" s="1"/>
      <c r="H6" s="16" t="s">
        <v>8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6" t="s">
        <v>12</v>
      </c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40"/>
    </row>
    <row r="7" spans="1:66" x14ac:dyDescent="0.15">
      <c r="A7" s="1"/>
      <c r="B7" s="1"/>
      <c r="H7" s="16" t="s">
        <v>5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6" t="s">
        <v>13</v>
      </c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40"/>
    </row>
    <row r="8" spans="1:66" x14ac:dyDescent="0.15">
      <c r="A8" s="1"/>
      <c r="B8" s="1"/>
      <c r="H8" s="21" t="s">
        <v>6</v>
      </c>
      <c r="I8" s="22"/>
      <c r="J8" s="22"/>
      <c r="K8" s="22"/>
      <c r="L8" s="22"/>
      <c r="M8" s="22"/>
      <c r="N8" s="22"/>
      <c r="O8" s="22"/>
      <c r="P8" s="23"/>
      <c r="Q8" s="14" t="s">
        <v>9</v>
      </c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21" t="s">
        <v>6</v>
      </c>
      <c r="AJ8" s="22"/>
      <c r="AK8" s="22"/>
      <c r="AL8" s="22"/>
      <c r="AM8" s="22"/>
      <c r="AN8" s="22"/>
      <c r="AO8" s="22"/>
      <c r="AP8" s="22"/>
      <c r="AQ8" s="23"/>
      <c r="AR8" s="14" t="s">
        <v>9</v>
      </c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36"/>
    </row>
    <row r="9" spans="1:66" x14ac:dyDescent="0.15">
      <c r="A9" s="1"/>
      <c r="B9" s="1"/>
      <c r="H9" s="18" t="s">
        <v>7</v>
      </c>
      <c r="I9" s="19"/>
      <c r="J9" s="19"/>
      <c r="K9" s="19"/>
      <c r="L9" s="19"/>
      <c r="M9" s="19"/>
      <c r="N9" s="19"/>
      <c r="O9" s="19"/>
      <c r="P9" s="20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8" t="s">
        <v>7</v>
      </c>
      <c r="AJ9" s="19"/>
      <c r="AK9" s="19"/>
      <c r="AL9" s="19"/>
      <c r="AM9" s="19"/>
      <c r="AN9" s="19"/>
      <c r="AO9" s="19"/>
      <c r="AP9" s="19"/>
      <c r="AQ9" s="20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37"/>
    </row>
    <row r="10" spans="1:66" x14ac:dyDescent="0.15">
      <c r="A10" s="1"/>
      <c r="B10" s="1"/>
      <c r="H10" s="25">
        <v>18</v>
      </c>
      <c r="I10" s="26"/>
      <c r="J10" s="26"/>
      <c r="K10" s="26"/>
      <c r="L10" s="26"/>
      <c r="M10" s="26"/>
      <c r="N10" s="26"/>
      <c r="O10" s="26"/>
      <c r="P10" s="27"/>
      <c r="Q10" s="26">
        <f>$AY$2+$AY$3</f>
        <v>14400</v>
      </c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5">
        <v>18</v>
      </c>
      <c r="AJ10" s="26"/>
      <c r="AK10" s="26"/>
      <c r="AL10" s="26"/>
      <c r="AM10" s="26"/>
      <c r="AN10" s="26"/>
      <c r="AO10" s="26"/>
      <c r="AP10" s="26"/>
      <c r="AQ10" s="27"/>
      <c r="AR10" s="26">
        <f>$AY$2+1000+$AY$3</f>
        <v>15400</v>
      </c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7"/>
    </row>
    <row r="11" spans="1:66" x14ac:dyDescent="0.15">
      <c r="A11" s="1"/>
      <c r="B11" s="1"/>
      <c r="H11" s="28">
        <v>21</v>
      </c>
      <c r="I11" s="24"/>
      <c r="J11" s="24"/>
      <c r="K11" s="24"/>
      <c r="L11" s="24"/>
      <c r="M11" s="24"/>
      <c r="N11" s="24"/>
      <c r="O11" s="24"/>
      <c r="P11" s="29"/>
      <c r="Q11" s="24">
        <f>$AY$2+300+$AY$3</f>
        <v>14700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8">
        <v>21</v>
      </c>
      <c r="AJ11" s="24"/>
      <c r="AK11" s="24"/>
      <c r="AL11" s="24"/>
      <c r="AM11" s="24"/>
      <c r="AN11" s="24"/>
      <c r="AO11" s="24"/>
      <c r="AP11" s="24"/>
      <c r="AQ11" s="29"/>
      <c r="AR11" s="24">
        <f>$AY$2+1400+$AY$3</f>
        <v>15800</v>
      </c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9"/>
    </row>
    <row r="12" spans="1:66" x14ac:dyDescent="0.15">
      <c r="A12" s="1"/>
      <c r="B12" s="1"/>
      <c r="H12" s="28">
        <v>24</v>
      </c>
      <c r="I12" s="24"/>
      <c r="J12" s="24"/>
      <c r="K12" s="24"/>
      <c r="L12" s="24"/>
      <c r="M12" s="24"/>
      <c r="N12" s="24"/>
      <c r="O12" s="24"/>
      <c r="P12" s="29"/>
      <c r="Q12" s="24">
        <f>$AY$2+600+$AY$3</f>
        <v>15000</v>
      </c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8">
        <v>24</v>
      </c>
      <c r="AJ12" s="24"/>
      <c r="AK12" s="24"/>
      <c r="AL12" s="24"/>
      <c r="AM12" s="24"/>
      <c r="AN12" s="24"/>
      <c r="AO12" s="24"/>
      <c r="AP12" s="24"/>
      <c r="AQ12" s="29"/>
      <c r="AR12" s="24">
        <f>$AY$2+1900+$AY$3</f>
        <v>16300</v>
      </c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9"/>
    </row>
    <row r="13" spans="1:66" x14ac:dyDescent="0.15">
      <c r="A13" s="1"/>
      <c r="B13" s="1"/>
      <c r="H13" s="28">
        <v>27</v>
      </c>
      <c r="I13" s="24"/>
      <c r="J13" s="24"/>
      <c r="K13" s="24"/>
      <c r="L13" s="24"/>
      <c r="M13" s="24"/>
      <c r="N13" s="24"/>
      <c r="O13" s="24"/>
      <c r="P13" s="29"/>
      <c r="Q13" s="24">
        <f>$AY$2+900+$AY$3</f>
        <v>15300</v>
      </c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8">
        <v>27</v>
      </c>
      <c r="AJ13" s="24"/>
      <c r="AK13" s="24"/>
      <c r="AL13" s="24"/>
      <c r="AM13" s="24"/>
      <c r="AN13" s="24"/>
      <c r="AO13" s="24"/>
      <c r="AP13" s="24"/>
      <c r="AQ13" s="29"/>
      <c r="AR13" s="24">
        <f>$AY$2+2250+$AY$3</f>
        <v>16650</v>
      </c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9"/>
    </row>
    <row r="14" spans="1:66" x14ac:dyDescent="0.15">
      <c r="A14" s="1"/>
      <c r="B14" s="1"/>
      <c r="H14" s="28">
        <v>30</v>
      </c>
      <c r="I14" s="24"/>
      <c r="J14" s="24"/>
      <c r="K14" s="24"/>
      <c r="L14" s="24"/>
      <c r="M14" s="24"/>
      <c r="N14" s="24"/>
      <c r="O14" s="24"/>
      <c r="P14" s="29"/>
      <c r="Q14" s="24">
        <f>$AY$2+1200+$AY$3</f>
        <v>15600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8">
        <v>30</v>
      </c>
      <c r="AJ14" s="24"/>
      <c r="AK14" s="24"/>
      <c r="AL14" s="24"/>
      <c r="AM14" s="24"/>
      <c r="AN14" s="24"/>
      <c r="AO14" s="24"/>
      <c r="AP14" s="24"/>
      <c r="AQ14" s="29"/>
      <c r="AR14" s="24">
        <f>$AY$2+2700+$AY$3</f>
        <v>17100</v>
      </c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9"/>
    </row>
    <row r="15" spans="1:66" x14ac:dyDescent="0.15">
      <c r="A15" s="1"/>
      <c r="B15" s="1"/>
      <c r="H15" s="43">
        <v>33</v>
      </c>
      <c r="I15" s="38"/>
      <c r="J15" s="38"/>
      <c r="K15" s="38"/>
      <c r="L15" s="38"/>
      <c r="M15" s="38"/>
      <c r="N15" s="38"/>
      <c r="O15" s="38"/>
      <c r="P15" s="39"/>
      <c r="Q15" s="38">
        <f>$AY$2+1700+$AY$3</f>
        <v>16100</v>
      </c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43">
        <v>33</v>
      </c>
      <c r="AJ15" s="38"/>
      <c r="AK15" s="38"/>
      <c r="AL15" s="38"/>
      <c r="AM15" s="38"/>
      <c r="AN15" s="38"/>
      <c r="AO15" s="38"/>
      <c r="AP15" s="38"/>
      <c r="AQ15" s="39"/>
      <c r="AR15" s="38">
        <f>$AY$2+3200+$AY$3</f>
        <v>17600</v>
      </c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9"/>
    </row>
    <row r="16" spans="1:66" x14ac:dyDescent="0.15">
      <c r="A16" s="1"/>
      <c r="B16" s="1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</row>
    <row r="17" spans="1:61" x14ac:dyDescent="0.15">
      <c r="A17" s="1"/>
      <c r="B17" s="1"/>
      <c r="G17" s="13" t="s">
        <v>14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</row>
    <row r="18" spans="1:61" x14ac:dyDescent="0.15">
      <c r="A18" s="1"/>
      <c r="B18" s="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</row>
    <row r="19" spans="1:61" x14ac:dyDescent="0.15">
      <c r="A19" s="1"/>
      <c r="B19" s="1"/>
      <c r="H19" s="41" t="s">
        <v>8</v>
      </c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 t="s">
        <v>12</v>
      </c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</row>
    <row r="20" spans="1:61" x14ac:dyDescent="0.15">
      <c r="A20" s="1"/>
      <c r="B20" s="1"/>
      <c r="H20" s="41" t="s">
        <v>5</v>
      </c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 t="s">
        <v>13</v>
      </c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</row>
    <row r="21" spans="1:61" x14ac:dyDescent="0.15">
      <c r="A21" s="1"/>
      <c r="B21" s="1"/>
      <c r="H21" s="44" t="s">
        <v>6</v>
      </c>
      <c r="I21" s="45"/>
      <c r="J21" s="45"/>
      <c r="K21" s="45"/>
      <c r="L21" s="45"/>
      <c r="M21" s="45"/>
      <c r="N21" s="45"/>
      <c r="O21" s="45"/>
      <c r="P21" s="45"/>
      <c r="Q21" s="41" t="s">
        <v>51</v>
      </c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4" t="s">
        <v>6</v>
      </c>
      <c r="AJ21" s="45"/>
      <c r="AK21" s="45"/>
      <c r="AL21" s="45"/>
      <c r="AM21" s="45"/>
      <c r="AN21" s="45"/>
      <c r="AO21" s="45"/>
      <c r="AP21" s="45"/>
      <c r="AQ21" s="45"/>
      <c r="AR21" s="41" t="s">
        <v>51</v>
      </c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</row>
    <row r="22" spans="1:61" x14ac:dyDescent="0.15">
      <c r="A22" s="1"/>
      <c r="B22" s="1"/>
      <c r="H22" s="46" t="s">
        <v>7</v>
      </c>
      <c r="I22" s="46"/>
      <c r="J22" s="46"/>
      <c r="K22" s="46"/>
      <c r="L22" s="46"/>
      <c r="M22" s="46"/>
      <c r="N22" s="46"/>
      <c r="O22" s="46"/>
      <c r="P22" s="46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6" t="s">
        <v>7</v>
      </c>
      <c r="AJ22" s="46"/>
      <c r="AK22" s="46"/>
      <c r="AL22" s="46"/>
      <c r="AM22" s="46"/>
      <c r="AN22" s="46"/>
      <c r="AO22" s="46"/>
      <c r="AP22" s="46"/>
      <c r="AQ22" s="46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</row>
    <row r="23" spans="1:61" x14ac:dyDescent="0.15">
      <c r="A23" s="1"/>
      <c r="B23" s="1"/>
      <c r="H23" s="42">
        <v>27</v>
      </c>
      <c r="I23" s="42"/>
      <c r="J23" s="42"/>
      <c r="K23" s="42"/>
      <c r="L23" s="42"/>
      <c r="M23" s="42"/>
      <c r="N23" s="42"/>
      <c r="O23" s="42"/>
      <c r="P23" s="42"/>
      <c r="Q23" s="42">
        <f>$AY$2+1700+$AY$3</f>
        <v>16100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>
        <v>27</v>
      </c>
      <c r="AJ23" s="42"/>
      <c r="AK23" s="42"/>
      <c r="AL23" s="42"/>
      <c r="AM23" s="42"/>
      <c r="AN23" s="42"/>
      <c r="AO23" s="42"/>
      <c r="AP23" s="42"/>
      <c r="AQ23" s="42"/>
      <c r="AR23" s="42">
        <f>$AY$2+3050+$AY$3</f>
        <v>17450</v>
      </c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</row>
    <row r="24" spans="1:61" x14ac:dyDescent="0.15">
      <c r="A24" s="1"/>
      <c r="B24" s="1"/>
      <c r="H24" s="47">
        <v>30</v>
      </c>
      <c r="I24" s="47"/>
      <c r="J24" s="47"/>
      <c r="K24" s="47"/>
      <c r="L24" s="47"/>
      <c r="M24" s="47"/>
      <c r="N24" s="47"/>
      <c r="O24" s="47"/>
      <c r="P24" s="47"/>
      <c r="Q24" s="47">
        <f>$AY$2+2000+$AY$3</f>
        <v>16400</v>
      </c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>
        <v>30</v>
      </c>
      <c r="AJ24" s="47"/>
      <c r="AK24" s="47"/>
      <c r="AL24" s="47"/>
      <c r="AM24" s="47"/>
      <c r="AN24" s="47"/>
      <c r="AO24" s="47"/>
      <c r="AP24" s="47"/>
      <c r="AQ24" s="47"/>
      <c r="AR24" s="47">
        <f>$AY$2+3500+$AY$3</f>
        <v>17900</v>
      </c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</row>
    <row r="25" spans="1:61" x14ac:dyDescent="0.15">
      <c r="A25" s="1"/>
      <c r="B25" s="1"/>
      <c r="H25" s="47">
        <v>33</v>
      </c>
      <c r="I25" s="47"/>
      <c r="J25" s="47"/>
      <c r="K25" s="47"/>
      <c r="L25" s="47"/>
      <c r="M25" s="47"/>
      <c r="N25" s="47"/>
      <c r="O25" s="47"/>
      <c r="P25" s="47"/>
      <c r="Q25" s="47">
        <f>$AY$2+2500+$AY$3</f>
        <v>16900</v>
      </c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>
        <v>33</v>
      </c>
      <c r="AJ25" s="47"/>
      <c r="AK25" s="47"/>
      <c r="AL25" s="47"/>
      <c r="AM25" s="47"/>
      <c r="AN25" s="47"/>
      <c r="AO25" s="47"/>
      <c r="AP25" s="47"/>
      <c r="AQ25" s="47"/>
      <c r="AR25" s="47">
        <f>$AY$2+4000+$AY$3</f>
        <v>18400</v>
      </c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</row>
    <row r="26" spans="1:61" x14ac:dyDescent="0.15">
      <c r="A26" s="1"/>
      <c r="B26" s="1"/>
      <c r="H26" s="47">
        <v>36</v>
      </c>
      <c r="I26" s="47"/>
      <c r="J26" s="47"/>
      <c r="K26" s="47"/>
      <c r="L26" s="47"/>
      <c r="M26" s="47"/>
      <c r="N26" s="47"/>
      <c r="O26" s="47"/>
      <c r="P26" s="47"/>
      <c r="Q26" s="47">
        <f>$AY$2+3150+$AY$3</f>
        <v>17550</v>
      </c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>
        <v>36</v>
      </c>
      <c r="AJ26" s="47"/>
      <c r="AK26" s="47"/>
      <c r="AL26" s="47"/>
      <c r="AM26" s="47"/>
      <c r="AN26" s="47"/>
      <c r="AO26" s="47"/>
      <c r="AP26" s="47"/>
      <c r="AQ26" s="47"/>
      <c r="AR26" s="47">
        <f>$AY$2+4800+$AY$3</f>
        <v>19200</v>
      </c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</row>
    <row r="27" spans="1:61" x14ac:dyDescent="0.15">
      <c r="A27" s="1"/>
      <c r="B27" s="1"/>
      <c r="H27" s="47">
        <v>39</v>
      </c>
      <c r="I27" s="47"/>
      <c r="J27" s="47"/>
      <c r="K27" s="47"/>
      <c r="L27" s="47"/>
      <c r="M27" s="47"/>
      <c r="N27" s="47"/>
      <c r="O27" s="47"/>
      <c r="P27" s="47"/>
      <c r="Q27" s="47">
        <f>$AY$2+3650+$AY$3</f>
        <v>18050</v>
      </c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>
        <v>39</v>
      </c>
      <c r="AJ27" s="47"/>
      <c r="AK27" s="47"/>
      <c r="AL27" s="47"/>
      <c r="AM27" s="47"/>
      <c r="AN27" s="47"/>
      <c r="AO27" s="47"/>
      <c r="AP27" s="47"/>
      <c r="AQ27" s="47"/>
      <c r="AR27" s="47">
        <f>$AY$2+5300+$AY$3</f>
        <v>19700</v>
      </c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</row>
    <row r="28" spans="1:61" x14ac:dyDescent="0.15">
      <c r="A28" s="1"/>
      <c r="B28" s="1"/>
      <c r="H28" s="47">
        <v>40</v>
      </c>
      <c r="I28" s="47"/>
      <c r="J28" s="47"/>
      <c r="K28" s="47"/>
      <c r="L28" s="47"/>
      <c r="M28" s="47"/>
      <c r="N28" s="47"/>
      <c r="O28" s="47"/>
      <c r="P28" s="47"/>
      <c r="Q28" s="47">
        <f>$AY$2+3800+$AY$3</f>
        <v>18200</v>
      </c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>
        <v>40</v>
      </c>
      <c r="AJ28" s="47"/>
      <c r="AK28" s="47"/>
      <c r="AL28" s="47"/>
      <c r="AM28" s="47"/>
      <c r="AN28" s="47"/>
      <c r="AO28" s="47"/>
      <c r="AP28" s="47"/>
      <c r="AQ28" s="47"/>
      <c r="AR28" s="47">
        <f>$AY$2+5500+$AY$3</f>
        <v>19900</v>
      </c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</row>
    <row r="29" spans="1:61" x14ac:dyDescent="0.15">
      <c r="A29" s="1"/>
      <c r="B29" s="1"/>
      <c r="H29" s="47">
        <v>42</v>
      </c>
      <c r="I29" s="47"/>
      <c r="J29" s="47"/>
      <c r="K29" s="47"/>
      <c r="L29" s="47"/>
      <c r="M29" s="47"/>
      <c r="N29" s="47"/>
      <c r="O29" s="47"/>
      <c r="P29" s="47"/>
      <c r="Q29" s="47">
        <f>$AY$2+4600+$AY$3</f>
        <v>19000</v>
      </c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>
        <v>42</v>
      </c>
      <c r="AJ29" s="47"/>
      <c r="AK29" s="47"/>
      <c r="AL29" s="47"/>
      <c r="AM29" s="47"/>
      <c r="AN29" s="47"/>
      <c r="AO29" s="47"/>
      <c r="AP29" s="47"/>
      <c r="AQ29" s="47"/>
      <c r="AR29" s="47">
        <f>$AY$2+6400+$AY$3</f>
        <v>20800</v>
      </c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</row>
    <row r="30" spans="1:61" x14ac:dyDescent="0.15">
      <c r="A30" s="1"/>
      <c r="B30" s="1"/>
      <c r="H30" s="48">
        <v>45</v>
      </c>
      <c r="I30" s="48"/>
      <c r="J30" s="48"/>
      <c r="K30" s="48"/>
      <c r="L30" s="48"/>
      <c r="M30" s="48"/>
      <c r="N30" s="48"/>
      <c r="O30" s="48"/>
      <c r="P30" s="48"/>
      <c r="Q30" s="48">
        <f>$AY$2+5000+$AY$3</f>
        <v>19400</v>
      </c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>
        <v>45</v>
      </c>
      <c r="AJ30" s="48"/>
      <c r="AK30" s="48"/>
      <c r="AL30" s="48"/>
      <c r="AM30" s="48"/>
      <c r="AN30" s="48"/>
      <c r="AO30" s="48"/>
      <c r="AP30" s="48"/>
      <c r="AQ30" s="48"/>
      <c r="AR30" s="48">
        <f>$AY$2+7050+$AY$3</f>
        <v>21450</v>
      </c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</row>
    <row r="31" spans="1:61" x14ac:dyDescent="0.15">
      <c r="A31" s="1"/>
      <c r="B31" s="1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x14ac:dyDescent="0.15">
      <c r="A32" s="1"/>
      <c r="B32" s="1"/>
      <c r="G32" s="13" t="s">
        <v>52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</row>
    <row r="33" spans="1:61" x14ac:dyDescent="0.15">
      <c r="A33" s="1"/>
      <c r="B33" s="1"/>
      <c r="H33" s="41" t="s">
        <v>15</v>
      </c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 t="s">
        <v>16</v>
      </c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</row>
    <row r="34" spans="1:61" x14ac:dyDescent="0.15">
      <c r="A34" s="1"/>
      <c r="B34" s="1"/>
      <c r="H34" s="41" t="s">
        <v>5</v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 t="s">
        <v>5</v>
      </c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</row>
    <row r="35" spans="1:61" x14ac:dyDescent="0.15">
      <c r="A35" s="1"/>
      <c r="B35" s="1"/>
      <c r="H35" s="44" t="s">
        <v>6</v>
      </c>
      <c r="I35" s="45"/>
      <c r="J35" s="45"/>
      <c r="K35" s="45"/>
      <c r="L35" s="45"/>
      <c r="M35" s="45"/>
      <c r="N35" s="45"/>
      <c r="O35" s="45"/>
      <c r="P35" s="45"/>
      <c r="Q35" s="41" t="s">
        <v>9</v>
      </c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4" t="s">
        <v>6</v>
      </c>
      <c r="AJ35" s="45"/>
      <c r="AK35" s="45"/>
      <c r="AL35" s="45"/>
      <c r="AM35" s="45"/>
      <c r="AN35" s="45"/>
      <c r="AO35" s="45"/>
      <c r="AP35" s="45"/>
      <c r="AQ35" s="45"/>
      <c r="AR35" s="41" t="s">
        <v>9</v>
      </c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</row>
    <row r="36" spans="1:61" x14ac:dyDescent="0.15">
      <c r="A36" s="1"/>
      <c r="B36" s="1"/>
      <c r="H36" s="46" t="s">
        <v>7</v>
      </c>
      <c r="I36" s="46"/>
      <c r="J36" s="46"/>
      <c r="K36" s="46"/>
      <c r="L36" s="46"/>
      <c r="M36" s="46"/>
      <c r="N36" s="46"/>
      <c r="O36" s="46"/>
      <c r="P36" s="46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6" t="s">
        <v>7</v>
      </c>
      <c r="AJ36" s="46"/>
      <c r="AK36" s="46"/>
      <c r="AL36" s="46"/>
      <c r="AM36" s="46"/>
      <c r="AN36" s="46"/>
      <c r="AO36" s="46"/>
      <c r="AP36" s="46"/>
      <c r="AQ36" s="46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</row>
    <row r="37" spans="1:61" x14ac:dyDescent="0.15">
      <c r="A37" s="1"/>
      <c r="B37" s="1"/>
      <c r="H37" s="42">
        <v>24</v>
      </c>
      <c r="I37" s="42"/>
      <c r="J37" s="42"/>
      <c r="K37" s="42"/>
      <c r="L37" s="42"/>
      <c r="M37" s="42"/>
      <c r="N37" s="42"/>
      <c r="O37" s="42"/>
      <c r="P37" s="42"/>
      <c r="Q37" s="42">
        <f>$AY$2+3350+$AY$3</f>
        <v>17750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>
        <v>24</v>
      </c>
      <c r="AJ37" s="42"/>
      <c r="AK37" s="42"/>
      <c r="AL37" s="42"/>
      <c r="AM37" s="42"/>
      <c r="AN37" s="42"/>
      <c r="AO37" s="42"/>
      <c r="AP37" s="42"/>
      <c r="AQ37" s="42"/>
      <c r="AR37" s="42" t="s">
        <v>46</v>
      </c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</row>
    <row r="38" spans="1:61" x14ac:dyDescent="0.15">
      <c r="A38" s="1"/>
      <c r="B38" s="1"/>
      <c r="H38" s="47">
        <v>27</v>
      </c>
      <c r="I38" s="47"/>
      <c r="J38" s="47"/>
      <c r="K38" s="47"/>
      <c r="L38" s="47"/>
      <c r="M38" s="47"/>
      <c r="N38" s="47"/>
      <c r="O38" s="47"/>
      <c r="P38" s="47"/>
      <c r="Q38" s="47">
        <f>$AY$2+3600+$AY$3</f>
        <v>18000</v>
      </c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>
        <v>27</v>
      </c>
      <c r="AJ38" s="47"/>
      <c r="AK38" s="47"/>
      <c r="AL38" s="47"/>
      <c r="AM38" s="47"/>
      <c r="AN38" s="47"/>
      <c r="AO38" s="47"/>
      <c r="AP38" s="47"/>
      <c r="AQ38" s="47"/>
      <c r="AR38" s="47">
        <f>$AY$2+4400+$AY$3</f>
        <v>18800</v>
      </c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</row>
    <row r="39" spans="1:61" x14ac:dyDescent="0.15">
      <c r="A39" s="1"/>
      <c r="B39" s="1"/>
      <c r="H39" s="47">
        <v>30</v>
      </c>
      <c r="I39" s="47"/>
      <c r="J39" s="47"/>
      <c r="K39" s="47"/>
      <c r="L39" s="47"/>
      <c r="M39" s="47"/>
      <c r="N39" s="47"/>
      <c r="O39" s="47"/>
      <c r="P39" s="47"/>
      <c r="Q39" s="47">
        <f>$AY$2+4050+$AY$3</f>
        <v>18450</v>
      </c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>
        <v>30</v>
      </c>
      <c r="AJ39" s="47"/>
      <c r="AK39" s="47"/>
      <c r="AL39" s="47"/>
      <c r="AM39" s="47"/>
      <c r="AN39" s="47"/>
      <c r="AO39" s="47"/>
      <c r="AP39" s="47"/>
      <c r="AQ39" s="47"/>
      <c r="AR39" s="47">
        <f>$AY$2+4850+$AY$3</f>
        <v>19250</v>
      </c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</row>
    <row r="40" spans="1:61" x14ac:dyDescent="0.15">
      <c r="A40" s="1"/>
      <c r="B40" s="1"/>
      <c r="H40" s="47">
        <v>33</v>
      </c>
      <c r="I40" s="47"/>
      <c r="J40" s="47"/>
      <c r="K40" s="47"/>
      <c r="L40" s="47"/>
      <c r="M40" s="47"/>
      <c r="N40" s="47"/>
      <c r="O40" s="47"/>
      <c r="P40" s="47"/>
      <c r="Q40" s="47">
        <f>$AY$2+4550+$AY$3</f>
        <v>18950</v>
      </c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>
        <v>33</v>
      </c>
      <c r="AJ40" s="47"/>
      <c r="AK40" s="47"/>
      <c r="AL40" s="47"/>
      <c r="AM40" s="47"/>
      <c r="AN40" s="47"/>
      <c r="AO40" s="47"/>
      <c r="AP40" s="47"/>
      <c r="AQ40" s="47"/>
      <c r="AR40" s="47">
        <f>$AY$2+5350+$AY$3</f>
        <v>19750</v>
      </c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</row>
    <row r="41" spans="1:61" x14ac:dyDescent="0.15">
      <c r="A41" s="1"/>
      <c r="B41" s="1"/>
      <c r="H41" s="47">
        <v>36</v>
      </c>
      <c r="I41" s="47"/>
      <c r="J41" s="47"/>
      <c r="K41" s="47"/>
      <c r="L41" s="47"/>
      <c r="M41" s="47"/>
      <c r="N41" s="47"/>
      <c r="O41" s="47"/>
      <c r="P41" s="47"/>
      <c r="Q41" s="47" t="s">
        <v>46</v>
      </c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>
        <v>36</v>
      </c>
      <c r="AJ41" s="47"/>
      <c r="AK41" s="47"/>
      <c r="AL41" s="47"/>
      <c r="AM41" s="47"/>
      <c r="AN41" s="47"/>
      <c r="AO41" s="47"/>
      <c r="AP41" s="47"/>
      <c r="AQ41" s="47"/>
      <c r="AR41" s="47">
        <f>$AY$2+6100+$AY$3</f>
        <v>20500</v>
      </c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</row>
    <row r="42" spans="1:61" x14ac:dyDescent="0.15">
      <c r="A42" s="1"/>
      <c r="B42" s="1"/>
      <c r="H42" s="47">
        <v>39</v>
      </c>
      <c r="I42" s="47"/>
      <c r="J42" s="47"/>
      <c r="K42" s="47"/>
      <c r="L42" s="47"/>
      <c r="M42" s="47"/>
      <c r="N42" s="47"/>
      <c r="O42" s="47"/>
      <c r="P42" s="47"/>
      <c r="Q42" s="47" t="s">
        <v>46</v>
      </c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>
        <v>39</v>
      </c>
      <c r="AJ42" s="47"/>
      <c r="AK42" s="47"/>
      <c r="AL42" s="47"/>
      <c r="AM42" s="47"/>
      <c r="AN42" s="47"/>
      <c r="AO42" s="47"/>
      <c r="AP42" s="47"/>
      <c r="AQ42" s="47"/>
      <c r="AR42" s="47">
        <f>$AY$2+6900+$AY$3</f>
        <v>21300</v>
      </c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</row>
    <row r="43" spans="1:61" x14ac:dyDescent="0.15">
      <c r="A43" s="1"/>
      <c r="B43" s="1"/>
      <c r="H43" s="47">
        <v>40</v>
      </c>
      <c r="I43" s="47"/>
      <c r="J43" s="47"/>
      <c r="K43" s="47"/>
      <c r="L43" s="47"/>
      <c r="M43" s="47"/>
      <c r="N43" s="47"/>
      <c r="O43" s="47"/>
      <c r="P43" s="47"/>
      <c r="Q43" s="47" t="s">
        <v>46</v>
      </c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>
        <v>40</v>
      </c>
      <c r="AJ43" s="47"/>
      <c r="AK43" s="47"/>
      <c r="AL43" s="47"/>
      <c r="AM43" s="47"/>
      <c r="AN43" s="47"/>
      <c r="AO43" s="47"/>
      <c r="AP43" s="47"/>
      <c r="AQ43" s="47"/>
      <c r="AR43" s="47">
        <f>$AY$2+7150+$AY$3</f>
        <v>21550</v>
      </c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</row>
    <row r="44" spans="1:61" x14ac:dyDescent="0.15">
      <c r="A44" s="1"/>
      <c r="B44" s="1"/>
      <c r="H44" s="47">
        <v>42</v>
      </c>
      <c r="I44" s="47"/>
      <c r="J44" s="47"/>
      <c r="K44" s="47"/>
      <c r="L44" s="47"/>
      <c r="M44" s="47"/>
      <c r="N44" s="47"/>
      <c r="O44" s="47"/>
      <c r="P44" s="47"/>
      <c r="Q44" s="47" t="s">
        <v>46</v>
      </c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>
        <v>42</v>
      </c>
      <c r="AJ44" s="47"/>
      <c r="AK44" s="47"/>
      <c r="AL44" s="47"/>
      <c r="AM44" s="47"/>
      <c r="AN44" s="47"/>
      <c r="AO44" s="47"/>
      <c r="AP44" s="47"/>
      <c r="AQ44" s="47"/>
      <c r="AR44" s="47">
        <f>$AY$2+7650+$AY$3</f>
        <v>22050</v>
      </c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</row>
    <row r="45" spans="1:61" x14ac:dyDescent="0.15">
      <c r="A45" s="1"/>
      <c r="B45" s="1"/>
      <c r="H45" s="48">
        <v>45</v>
      </c>
      <c r="I45" s="48"/>
      <c r="J45" s="48"/>
      <c r="K45" s="48"/>
      <c r="L45" s="48"/>
      <c r="M45" s="48"/>
      <c r="N45" s="48"/>
      <c r="O45" s="48"/>
      <c r="P45" s="48"/>
      <c r="Q45" s="48" t="s">
        <v>46</v>
      </c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>
        <v>45</v>
      </c>
      <c r="AJ45" s="48"/>
      <c r="AK45" s="48"/>
      <c r="AL45" s="48"/>
      <c r="AM45" s="48"/>
      <c r="AN45" s="48"/>
      <c r="AO45" s="48"/>
      <c r="AP45" s="48"/>
      <c r="AQ45" s="48"/>
      <c r="AR45" s="48">
        <f>$AY$2+8550+$AY$3</f>
        <v>22950</v>
      </c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</row>
    <row r="46" spans="1:61" x14ac:dyDescent="0.15">
      <c r="A46" s="1"/>
      <c r="B46" s="1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</row>
    <row r="47" spans="1:61" x14ac:dyDescent="0.15">
      <c r="A47" s="3"/>
      <c r="B47" s="3"/>
    </row>
    <row r="48" spans="1:61" x14ac:dyDescent="0.15">
      <c r="A48" s="3"/>
      <c r="B48" s="3"/>
      <c r="G48" t="s">
        <v>56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</row>
    <row r="49" spans="1:60" x14ac:dyDescent="0.15">
      <c r="A49" s="3"/>
      <c r="B49" s="3"/>
      <c r="G49" s="10"/>
      <c r="H49" s="49" t="s">
        <v>20</v>
      </c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</row>
    <row r="50" spans="1:60" x14ac:dyDescent="0.15">
      <c r="A50" s="3"/>
      <c r="B50" s="3"/>
      <c r="H50" s="49" t="s">
        <v>21</v>
      </c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</row>
    <row r="51" spans="1:60" x14ac:dyDescent="0.15">
      <c r="A51" s="3"/>
      <c r="B51" s="3"/>
      <c r="H51" s="55" t="s">
        <v>29</v>
      </c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2" t="s">
        <v>22</v>
      </c>
      <c r="V51" s="53"/>
      <c r="W51" s="53"/>
      <c r="X51" s="53"/>
      <c r="Y51" s="53"/>
      <c r="Z51" s="53"/>
      <c r="AA51" s="53"/>
      <c r="AB51" s="53"/>
      <c r="AC51" s="54" t="s">
        <v>23</v>
      </c>
      <c r="AD51" s="54"/>
      <c r="AE51" s="54"/>
      <c r="AF51" s="54"/>
      <c r="AG51" s="54"/>
      <c r="AH51" s="54"/>
      <c r="AI51" s="54"/>
      <c r="AJ51" s="54"/>
      <c r="AK51" s="54" t="s">
        <v>23</v>
      </c>
      <c r="AL51" s="54"/>
      <c r="AM51" s="54"/>
      <c r="AN51" s="54"/>
      <c r="AO51" s="54"/>
      <c r="AP51" s="54"/>
      <c r="AQ51" s="54"/>
      <c r="AR51" s="54"/>
      <c r="AS51" s="54" t="s">
        <v>23</v>
      </c>
      <c r="AT51" s="54"/>
      <c r="AU51" s="54"/>
      <c r="AV51" s="54"/>
      <c r="AW51" s="54"/>
      <c r="AX51" s="54"/>
      <c r="AY51" s="54"/>
      <c r="AZ51" s="54"/>
      <c r="BA51" s="54" t="s">
        <v>23</v>
      </c>
      <c r="BB51" s="54"/>
      <c r="BC51" s="54"/>
      <c r="BD51" s="54"/>
      <c r="BE51" s="54"/>
      <c r="BF51" s="54"/>
      <c r="BG51" s="54"/>
      <c r="BH51" s="57"/>
    </row>
    <row r="52" spans="1:60" ht="13.5" customHeight="1" x14ac:dyDescent="0.15">
      <c r="A52" s="3"/>
      <c r="B52" s="3"/>
      <c r="H52" s="50" t="s">
        <v>30</v>
      </c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2" t="s">
        <v>24</v>
      </c>
      <c r="V52" s="53"/>
      <c r="W52" s="53"/>
      <c r="X52" s="53"/>
      <c r="Y52" s="53"/>
      <c r="Z52" s="53"/>
      <c r="AA52" s="53"/>
      <c r="AB52" s="53"/>
      <c r="AC52" s="54" t="s">
        <v>25</v>
      </c>
      <c r="AD52" s="54"/>
      <c r="AE52" s="54"/>
      <c r="AF52" s="54"/>
      <c r="AG52" s="54"/>
      <c r="AH52" s="54"/>
      <c r="AI52" s="54"/>
      <c r="AJ52" s="54"/>
      <c r="AK52" s="54" t="s">
        <v>26</v>
      </c>
      <c r="AL52" s="54"/>
      <c r="AM52" s="54"/>
      <c r="AN52" s="54"/>
      <c r="AO52" s="54"/>
      <c r="AP52" s="54"/>
      <c r="AQ52" s="54"/>
      <c r="AR52" s="54"/>
      <c r="AS52" s="54" t="s">
        <v>27</v>
      </c>
      <c r="AT52" s="54"/>
      <c r="AU52" s="54"/>
      <c r="AV52" s="54"/>
      <c r="AW52" s="54"/>
      <c r="AX52" s="54"/>
      <c r="AY52" s="54"/>
      <c r="AZ52" s="54"/>
      <c r="BA52" s="54" t="s">
        <v>28</v>
      </c>
      <c r="BB52" s="54"/>
      <c r="BC52" s="54"/>
      <c r="BD52" s="54"/>
      <c r="BE52" s="54"/>
      <c r="BF52" s="54"/>
      <c r="BG52" s="54"/>
      <c r="BH52" s="57"/>
    </row>
    <row r="53" spans="1:60" ht="13.5" customHeight="1" x14ac:dyDescent="0.15">
      <c r="A53" s="3"/>
      <c r="B53" s="3"/>
      <c r="H53" s="66">
        <v>39</v>
      </c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8"/>
      <c r="U53" s="58">
        <f>$AY$2+5700+$AY$3</f>
        <v>20100</v>
      </c>
      <c r="V53" s="59"/>
      <c r="W53" s="59"/>
      <c r="X53" s="59"/>
      <c r="Y53" s="59"/>
      <c r="Z53" s="59"/>
      <c r="AA53" s="59"/>
      <c r="AB53" s="59"/>
      <c r="AC53" s="59">
        <f>$AY$2+5900+50+$AY$3</f>
        <v>20350</v>
      </c>
      <c r="AD53" s="59"/>
      <c r="AE53" s="59"/>
      <c r="AF53" s="59"/>
      <c r="AG53" s="59"/>
      <c r="AH53" s="59"/>
      <c r="AI53" s="59"/>
      <c r="AJ53" s="59"/>
      <c r="AK53" s="59">
        <f>$AY$2+5900+300+$AY$3</f>
        <v>20600</v>
      </c>
      <c r="AL53" s="59"/>
      <c r="AM53" s="59"/>
      <c r="AN53" s="59"/>
      <c r="AO53" s="59"/>
      <c r="AP53" s="59"/>
      <c r="AQ53" s="59"/>
      <c r="AR53" s="59"/>
      <c r="AS53" s="59">
        <f>$AY$2+5900+550+$AY$3</f>
        <v>20850</v>
      </c>
      <c r="AT53" s="59"/>
      <c r="AU53" s="59"/>
      <c r="AV53" s="59"/>
      <c r="AW53" s="59"/>
      <c r="AX53" s="59"/>
      <c r="AY53" s="59"/>
      <c r="AZ53" s="59"/>
      <c r="BA53" s="59" t="s">
        <v>46</v>
      </c>
      <c r="BB53" s="59"/>
      <c r="BC53" s="59"/>
      <c r="BD53" s="59"/>
      <c r="BE53" s="59"/>
      <c r="BF53" s="59"/>
      <c r="BG53" s="59"/>
      <c r="BH53" s="60"/>
    </row>
    <row r="54" spans="1:60" x14ac:dyDescent="0.15">
      <c r="A54" s="3"/>
      <c r="B54" s="3"/>
      <c r="H54" s="61">
        <v>42</v>
      </c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3"/>
      <c r="U54" s="64">
        <f>$AY$2+6300+$AY$3</f>
        <v>20700</v>
      </c>
      <c r="V54" s="65"/>
      <c r="W54" s="65"/>
      <c r="X54" s="65"/>
      <c r="Y54" s="65"/>
      <c r="Z54" s="65"/>
      <c r="AA54" s="65"/>
      <c r="AB54" s="65"/>
      <c r="AC54" s="65">
        <f>$AY$2+6500+50+$AY$3</f>
        <v>20950</v>
      </c>
      <c r="AD54" s="65"/>
      <c r="AE54" s="65"/>
      <c r="AF54" s="65"/>
      <c r="AG54" s="65"/>
      <c r="AH54" s="65"/>
      <c r="AI54" s="65"/>
      <c r="AJ54" s="65"/>
      <c r="AK54" s="65">
        <f>$AY$2+6500+300+$AY$3</f>
        <v>21200</v>
      </c>
      <c r="AL54" s="65"/>
      <c r="AM54" s="65"/>
      <c r="AN54" s="65"/>
      <c r="AO54" s="65"/>
      <c r="AP54" s="65"/>
      <c r="AQ54" s="65"/>
      <c r="AR54" s="65"/>
      <c r="AS54" s="65">
        <f>$AY$2+6500+550+$AY$3</f>
        <v>21450</v>
      </c>
      <c r="AT54" s="65"/>
      <c r="AU54" s="65"/>
      <c r="AV54" s="65"/>
      <c r="AW54" s="65"/>
      <c r="AX54" s="65"/>
      <c r="AY54" s="65"/>
      <c r="AZ54" s="65"/>
      <c r="BA54" s="65">
        <f>$AY$2+6500+800+$AY$3</f>
        <v>21700</v>
      </c>
      <c r="BB54" s="65"/>
      <c r="BC54" s="65"/>
      <c r="BD54" s="65"/>
      <c r="BE54" s="65"/>
      <c r="BF54" s="65"/>
      <c r="BG54" s="65"/>
      <c r="BH54" s="69"/>
    </row>
    <row r="55" spans="1:60" x14ac:dyDescent="0.15">
      <c r="A55" s="3"/>
      <c r="B55" s="3"/>
      <c r="H55" s="61">
        <v>45</v>
      </c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3"/>
      <c r="U55" s="64">
        <f>$AY$2+7300+$AY$3</f>
        <v>21700</v>
      </c>
      <c r="V55" s="65"/>
      <c r="W55" s="65"/>
      <c r="X55" s="65"/>
      <c r="Y55" s="65"/>
      <c r="Z55" s="65"/>
      <c r="AA55" s="65"/>
      <c r="AB55" s="65"/>
      <c r="AC55" s="65">
        <f>$AY$2+6900+650+$AY$3</f>
        <v>21950</v>
      </c>
      <c r="AD55" s="65"/>
      <c r="AE55" s="65"/>
      <c r="AF55" s="65"/>
      <c r="AG55" s="65"/>
      <c r="AH55" s="65"/>
      <c r="AI55" s="65"/>
      <c r="AJ55" s="65"/>
      <c r="AK55" s="65">
        <f>$AY$2+6900+900+$AY$3</f>
        <v>22200</v>
      </c>
      <c r="AL55" s="65"/>
      <c r="AM55" s="65"/>
      <c r="AN55" s="65"/>
      <c r="AO55" s="65"/>
      <c r="AP55" s="65"/>
      <c r="AQ55" s="65"/>
      <c r="AR55" s="65"/>
      <c r="AS55" s="65">
        <f>$AY$2+6900+1150+$AY$3</f>
        <v>22450</v>
      </c>
      <c r="AT55" s="65"/>
      <c r="AU55" s="65"/>
      <c r="AV55" s="65"/>
      <c r="AW55" s="65"/>
      <c r="AX55" s="65"/>
      <c r="AY55" s="65"/>
      <c r="AZ55" s="65"/>
      <c r="BA55" s="65">
        <f>$AY$2+6900+1400+$AY$3</f>
        <v>22700</v>
      </c>
      <c r="BB55" s="65"/>
      <c r="BC55" s="65"/>
      <c r="BD55" s="65"/>
      <c r="BE55" s="65"/>
      <c r="BF55" s="65"/>
      <c r="BG55" s="65"/>
      <c r="BH55" s="69"/>
    </row>
    <row r="56" spans="1:60" x14ac:dyDescent="0.15">
      <c r="A56" s="3"/>
      <c r="B56" s="3"/>
      <c r="H56" s="61">
        <v>48</v>
      </c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3"/>
      <c r="U56" s="64">
        <f>$AY$2+8100+$AY$3</f>
        <v>22500</v>
      </c>
      <c r="V56" s="65"/>
      <c r="W56" s="65"/>
      <c r="X56" s="65"/>
      <c r="Y56" s="65"/>
      <c r="Z56" s="65"/>
      <c r="AA56" s="65"/>
      <c r="AB56" s="65"/>
      <c r="AC56" s="65">
        <f>$AY$2+7700+650+$AY$3</f>
        <v>22750</v>
      </c>
      <c r="AD56" s="65"/>
      <c r="AE56" s="65"/>
      <c r="AF56" s="65"/>
      <c r="AG56" s="65"/>
      <c r="AH56" s="65"/>
      <c r="AI56" s="65"/>
      <c r="AJ56" s="65"/>
      <c r="AK56" s="65">
        <f>$AY$2+7700+900+$AY$3</f>
        <v>23000</v>
      </c>
      <c r="AL56" s="65"/>
      <c r="AM56" s="65"/>
      <c r="AN56" s="65"/>
      <c r="AO56" s="65"/>
      <c r="AP56" s="65"/>
      <c r="AQ56" s="65"/>
      <c r="AR56" s="65"/>
      <c r="AS56" s="65">
        <f>$AY$2+7700+1150+$AY$3</f>
        <v>23250</v>
      </c>
      <c r="AT56" s="65"/>
      <c r="AU56" s="65"/>
      <c r="AV56" s="65"/>
      <c r="AW56" s="65"/>
      <c r="AX56" s="65"/>
      <c r="AY56" s="65"/>
      <c r="AZ56" s="65"/>
      <c r="BA56" s="65">
        <f>$AY$2+7700+1400+$AY$3</f>
        <v>23500</v>
      </c>
      <c r="BB56" s="65"/>
      <c r="BC56" s="65"/>
      <c r="BD56" s="65"/>
      <c r="BE56" s="65"/>
      <c r="BF56" s="65"/>
      <c r="BG56" s="65"/>
      <c r="BH56" s="69"/>
    </row>
    <row r="57" spans="1:60" x14ac:dyDescent="0.15">
      <c r="A57" s="3"/>
      <c r="B57" s="3"/>
      <c r="H57" s="61">
        <v>51</v>
      </c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3"/>
      <c r="U57" s="64">
        <f>$AY$2+9200+$AY$3</f>
        <v>23600</v>
      </c>
      <c r="V57" s="65"/>
      <c r="W57" s="65"/>
      <c r="X57" s="65"/>
      <c r="Y57" s="65"/>
      <c r="Z57" s="65"/>
      <c r="AA57" s="65"/>
      <c r="AB57" s="65"/>
      <c r="AC57" s="65">
        <f>$AY$2+8800+700+$AY$3</f>
        <v>23900</v>
      </c>
      <c r="AD57" s="65"/>
      <c r="AE57" s="65"/>
      <c r="AF57" s="65"/>
      <c r="AG57" s="65"/>
      <c r="AH57" s="65"/>
      <c r="AI57" s="65"/>
      <c r="AJ57" s="65"/>
      <c r="AK57" s="65">
        <f>$AY$2+8800+1000+$AY$3</f>
        <v>24200</v>
      </c>
      <c r="AL57" s="65"/>
      <c r="AM57" s="65"/>
      <c r="AN57" s="65"/>
      <c r="AO57" s="65"/>
      <c r="AP57" s="65"/>
      <c r="AQ57" s="65"/>
      <c r="AR57" s="65"/>
      <c r="AS57" s="65">
        <f>$AY$2+8800+1300+$AY$3</f>
        <v>24500</v>
      </c>
      <c r="AT57" s="65"/>
      <c r="AU57" s="65"/>
      <c r="AV57" s="65"/>
      <c r="AW57" s="65"/>
      <c r="AX57" s="65"/>
      <c r="AY57" s="65"/>
      <c r="AZ57" s="65"/>
      <c r="BA57" s="65">
        <f>$AY$2+8800+1600+$AY$3</f>
        <v>24800</v>
      </c>
      <c r="BB57" s="65"/>
      <c r="BC57" s="65"/>
      <c r="BD57" s="65"/>
      <c r="BE57" s="65"/>
      <c r="BF57" s="65"/>
      <c r="BG57" s="65"/>
      <c r="BH57" s="69"/>
    </row>
    <row r="58" spans="1:60" x14ac:dyDescent="0.15">
      <c r="A58" s="3"/>
      <c r="B58" s="1"/>
      <c r="H58" s="61">
        <v>54</v>
      </c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3"/>
      <c r="U58" s="64">
        <f>$AY$2+10200+$AY$3</f>
        <v>24600</v>
      </c>
      <c r="V58" s="65"/>
      <c r="W58" s="65"/>
      <c r="X58" s="65"/>
      <c r="Y58" s="65"/>
      <c r="Z58" s="65"/>
      <c r="AA58" s="65"/>
      <c r="AB58" s="65"/>
      <c r="AC58" s="65">
        <f>$AY$2+9800+700+$AY$3</f>
        <v>24900</v>
      </c>
      <c r="AD58" s="65"/>
      <c r="AE58" s="65"/>
      <c r="AF58" s="65"/>
      <c r="AG58" s="65"/>
      <c r="AH58" s="65"/>
      <c r="AI58" s="65"/>
      <c r="AJ58" s="65"/>
      <c r="AK58" s="65">
        <f>$AY$2+9800+1000+$AY$3</f>
        <v>25200</v>
      </c>
      <c r="AL58" s="65"/>
      <c r="AM58" s="65"/>
      <c r="AN58" s="65"/>
      <c r="AO58" s="65"/>
      <c r="AP58" s="65"/>
      <c r="AQ58" s="65"/>
      <c r="AR58" s="65"/>
      <c r="AS58" s="65">
        <f>$AY$2+9800+1300+$AY$3</f>
        <v>25500</v>
      </c>
      <c r="AT58" s="65"/>
      <c r="AU58" s="65"/>
      <c r="AV58" s="65"/>
      <c r="AW58" s="65"/>
      <c r="AX58" s="65"/>
      <c r="AY58" s="65"/>
      <c r="AZ58" s="65"/>
      <c r="BA58" s="65">
        <f>$AY$2+9800+1600+$AY$3</f>
        <v>25800</v>
      </c>
      <c r="BB58" s="65"/>
      <c r="BC58" s="65"/>
      <c r="BD58" s="65"/>
      <c r="BE58" s="65"/>
      <c r="BF58" s="65"/>
      <c r="BG58" s="65"/>
      <c r="BH58" s="69"/>
    </row>
    <row r="59" spans="1:60" x14ac:dyDescent="0.15">
      <c r="A59" s="3"/>
      <c r="B59" s="3"/>
      <c r="H59" s="61">
        <v>57</v>
      </c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3"/>
      <c r="U59" s="64">
        <f>$AY$2+11200+$AY$3</f>
        <v>25600</v>
      </c>
      <c r="V59" s="65"/>
      <c r="W59" s="65"/>
      <c r="X59" s="65"/>
      <c r="Y59" s="65"/>
      <c r="Z59" s="65"/>
      <c r="AA59" s="65"/>
      <c r="AB59" s="65"/>
      <c r="AC59" s="65">
        <f>$AY$2+10800+700+$AY$3</f>
        <v>25900</v>
      </c>
      <c r="AD59" s="65"/>
      <c r="AE59" s="65"/>
      <c r="AF59" s="65"/>
      <c r="AG59" s="65"/>
      <c r="AH59" s="65"/>
      <c r="AI59" s="65"/>
      <c r="AJ59" s="65"/>
      <c r="AK59" s="65">
        <f>$AY$2+10800+1000+$AY$3</f>
        <v>26200</v>
      </c>
      <c r="AL59" s="65"/>
      <c r="AM59" s="65"/>
      <c r="AN59" s="65"/>
      <c r="AO59" s="65"/>
      <c r="AP59" s="65"/>
      <c r="AQ59" s="65"/>
      <c r="AR59" s="65"/>
      <c r="AS59" s="65">
        <f>$AY$2+10800+1300+$AY$3</f>
        <v>26500</v>
      </c>
      <c r="AT59" s="65"/>
      <c r="AU59" s="65"/>
      <c r="AV59" s="65"/>
      <c r="AW59" s="65"/>
      <c r="AX59" s="65"/>
      <c r="AY59" s="65"/>
      <c r="AZ59" s="65"/>
      <c r="BA59" s="65">
        <f>$AY$2+10800+1600+$AY$3</f>
        <v>26800</v>
      </c>
      <c r="BB59" s="65"/>
      <c r="BC59" s="65"/>
      <c r="BD59" s="65"/>
      <c r="BE59" s="65"/>
      <c r="BF59" s="65"/>
      <c r="BG59" s="65"/>
      <c r="BH59" s="69"/>
    </row>
    <row r="60" spans="1:60" x14ac:dyDescent="0.15">
      <c r="A60" s="3"/>
      <c r="B60" s="3"/>
      <c r="H60" s="70">
        <v>60</v>
      </c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2"/>
      <c r="U60" s="73">
        <f>$AY$2+11950+$AY$3</f>
        <v>26350</v>
      </c>
      <c r="V60" s="74"/>
      <c r="W60" s="74"/>
      <c r="X60" s="74"/>
      <c r="Y60" s="74"/>
      <c r="Z60" s="74"/>
      <c r="AA60" s="74"/>
      <c r="AB60" s="74"/>
      <c r="AC60" s="74">
        <f>$AY$2+11600+650+$AY$3</f>
        <v>26650</v>
      </c>
      <c r="AD60" s="74"/>
      <c r="AE60" s="74"/>
      <c r="AF60" s="74"/>
      <c r="AG60" s="74"/>
      <c r="AH60" s="74"/>
      <c r="AI60" s="74"/>
      <c r="AJ60" s="74"/>
      <c r="AK60" s="74">
        <f>$AY$2+11600+950+$AY$3</f>
        <v>26950</v>
      </c>
      <c r="AL60" s="74"/>
      <c r="AM60" s="74"/>
      <c r="AN60" s="74"/>
      <c r="AO60" s="74"/>
      <c r="AP60" s="74"/>
      <c r="AQ60" s="74"/>
      <c r="AR60" s="74"/>
      <c r="AS60" s="74">
        <f>$AY$2+11600+1250+$AY$3</f>
        <v>27250</v>
      </c>
      <c r="AT60" s="74"/>
      <c r="AU60" s="74"/>
      <c r="AV60" s="74"/>
      <c r="AW60" s="74"/>
      <c r="AX60" s="74"/>
      <c r="AY60" s="74"/>
      <c r="AZ60" s="74"/>
      <c r="BA60" s="74">
        <f>$AY$2+11600+1550+$AY$3</f>
        <v>27550</v>
      </c>
      <c r="BB60" s="74"/>
      <c r="BC60" s="74"/>
      <c r="BD60" s="74"/>
      <c r="BE60" s="74"/>
      <c r="BF60" s="74"/>
      <c r="BG60" s="74"/>
      <c r="BH60" s="75"/>
    </row>
    <row r="61" spans="1:60" x14ac:dyDescent="0.15">
      <c r="A61" s="3"/>
      <c r="B61" s="3"/>
    </row>
    <row r="62" spans="1:60" ht="13.5" customHeight="1" x14ac:dyDescent="0.15">
      <c r="A62" s="3"/>
      <c r="B62" s="3"/>
      <c r="H62" s="49" t="s">
        <v>31</v>
      </c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</row>
    <row r="63" spans="1:60" ht="13.5" customHeight="1" x14ac:dyDescent="0.15">
      <c r="A63" s="3"/>
      <c r="B63" s="3"/>
      <c r="H63" s="49" t="s">
        <v>21</v>
      </c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</row>
    <row r="64" spans="1:60" ht="13.5" customHeight="1" x14ac:dyDescent="0.15">
      <c r="A64" s="3"/>
      <c r="B64" s="3"/>
      <c r="H64" s="77" t="s">
        <v>29</v>
      </c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52" t="s">
        <v>22</v>
      </c>
      <c r="V64" s="53"/>
      <c r="W64" s="53"/>
      <c r="X64" s="53"/>
      <c r="Y64" s="53"/>
      <c r="Z64" s="53"/>
      <c r="AA64" s="53"/>
      <c r="AB64" s="53"/>
      <c r="AC64" s="54" t="s">
        <v>23</v>
      </c>
      <c r="AD64" s="54"/>
      <c r="AE64" s="54"/>
      <c r="AF64" s="54"/>
      <c r="AG64" s="54"/>
      <c r="AH64" s="54"/>
      <c r="AI64" s="54"/>
      <c r="AJ64" s="54"/>
      <c r="AK64" s="54" t="s">
        <v>23</v>
      </c>
      <c r="AL64" s="54"/>
      <c r="AM64" s="54"/>
      <c r="AN64" s="54"/>
      <c r="AO64" s="54"/>
      <c r="AP64" s="54"/>
      <c r="AQ64" s="54"/>
      <c r="AR64" s="54"/>
      <c r="AS64" s="54" t="s">
        <v>23</v>
      </c>
      <c r="AT64" s="54"/>
      <c r="AU64" s="54"/>
      <c r="AV64" s="54"/>
      <c r="AW64" s="54"/>
      <c r="AX64" s="54"/>
      <c r="AY64" s="54"/>
      <c r="AZ64" s="54"/>
      <c r="BA64" s="54" t="s">
        <v>23</v>
      </c>
      <c r="BB64" s="54"/>
      <c r="BC64" s="54"/>
      <c r="BD64" s="54"/>
      <c r="BE64" s="54"/>
      <c r="BF64" s="54"/>
      <c r="BG64" s="54"/>
      <c r="BH64" s="57"/>
    </row>
    <row r="65" spans="1:61" ht="13.5" customHeight="1" x14ac:dyDescent="0.15">
      <c r="A65" s="3"/>
      <c r="B65" s="3"/>
      <c r="H65" s="76" t="s">
        <v>30</v>
      </c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52" t="s">
        <v>24</v>
      </c>
      <c r="V65" s="53"/>
      <c r="W65" s="53"/>
      <c r="X65" s="53"/>
      <c r="Y65" s="53"/>
      <c r="Z65" s="53"/>
      <c r="AA65" s="53"/>
      <c r="AB65" s="53"/>
      <c r="AC65" s="54" t="s">
        <v>25</v>
      </c>
      <c r="AD65" s="54"/>
      <c r="AE65" s="54"/>
      <c r="AF65" s="54"/>
      <c r="AG65" s="54"/>
      <c r="AH65" s="54"/>
      <c r="AI65" s="54"/>
      <c r="AJ65" s="54"/>
      <c r="AK65" s="54" t="s">
        <v>26</v>
      </c>
      <c r="AL65" s="54"/>
      <c r="AM65" s="54"/>
      <c r="AN65" s="54"/>
      <c r="AO65" s="54"/>
      <c r="AP65" s="54"/>
      <c r="AQ65" s="54"/>
      <c r="AR65" s="54"/>
      <c r="AS65" s="54" t="s">
        <v>27</v>
      </c>
      <c r="AT65" s="54"/>
      <c r="AU65" s="54"/>
      <c r="AV65" s="54"/>
      <c r="AW65" s="54"/>
      <c r="AX65" s="54"/>
      <c r="AY65" s="54"/>
      <c r="AZ65" s="54"/>
      <c r="BA65" s="54" t="s">
        <v>28</v>
      </c>
      <c r="BB65" s="54"/>
      <c r="BC65" s="54"/>
      <c r="BD65" s="54"/>
      <c r="BE65" s="54"/>
      <c r="BF65" s="54"/>
      <c r="BG65" s="54"/>
      <c r="BH65" s="57"/>
    </row>
    <row r="66" spans="1:61" ht="14.25" customHeight="1" x14ac:dyDescent="0.15">
      <c r="A66" s="3"/>
      <c r="B66" s="3"/>
      <c r="H66" s="80">
        <v>39</v>
      </c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1">
        <f>$AY$2+7100+$AY$3</f>
        <v>21500</v>
      </c>
      <c r="V66" s="59"/>
      <c r="W66" s="59"/>
      <c r="X66" s="59"/>
      <c r="Y66" s="59"/>
      <c r="Z66" s="59"/>
      <c r="AA66" s="59"/>
      <c r="AB66" s="59"/>
      <c r="AC66" s="59">
        <f>$AY$2+7300+50+$AY$3</f>
        <v>21750</v>
      </c>
      <c r="AD66" s="59"/>
      <c r="AE66" s="59"/>
      <c r="AF66" s="59"/>
      <c r="AG66" s="59"/>
      <c r="AH66" s="59"/>
      <c r="AI66" s="59"/>
      <c r="AJ66" s="59"/>
      <c r="AK66" s="59">
        <f>$AY$2+7300+300+$AY$3</f>
        <v>22000</v>
      </c>
      <c r="AL66" s="59"/>
      <c r="AM66" s="59"/>
      <c r="AN66" s="59"/>
      <c r="AO66" s="59"/>
      <c r="AP66" s="59"/>
      <c r="AQ66" s="59"/>
      <c r="AR66" s="59"/>
      <c r="AS66" s="59">
        <f>$AY$2+7300+550+$AY$3</f>
        <v>22250</v>
      </c>
      <c r="AT66" s="59"/>
      <c r="AU66" s="59"/>
      <c r="AV66" s="59"/>
      <c r="AW66" s="59"/>
      <c r="AX66" s="59"/>
      <c r="AY66" s="59"/>
      <c r="AZ66" s="59"/>
      <c r="BA66" s="59">
        <f>$AY$2+7300+800+$AY$3</f>
        <v>22500</v>
      </c>
      <c r="BB66" s="59"/>
      <c r="BC66" s="59"/>
      <c r="BD66" s="59"/>
      <c r="BE66" s="59"/>
      <c r="BF66" s="59"/>
      <c r="BG66" s="59"/>
      <c r="BH66" s="60"/>
    </row>
    <row r="67" spans="1:61" x14ac:dyDescent="0.15">
      <c r="A67" s="3"/>
      <c r="B67" s="3"/>
      <c r="H67" s="78">
        <v>42</v>
      </c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9">
        <f>$AY$2+7700+$AY$3</f>
        <v>22100</v>
      </c>
      <c r="V67" s="65"/>
      <c r="W67" s="65"/>
      <c r="X67" s="65"/>
      <c r="Y67" s="65"/>
      <c r="Z67" s="65"/>
      <c r="AA67" s="65"/>
      <c r="AB67" s="65"/>
      <c r="AC67" s="65">
        <f>$AY$2+7900+50+$AY$3</f>
        <v>22350</v>
      </c>
      <c r="AD67" s="65"/>
      <c r="AE67" s="65"/>
      <c r="AF67" s="65"/>
      <c r="AG67" s="65"/>
      <c r="AH67" s="65"/>
      <c r="AI67" s="65"/>
      <c r="AJ67" s="65"/>
      <c r="AK67" s="65">
        <f>$AY$2+7900+300+$AY$3</f>
        <v>22600</v>
      </c>
      <c r="AL67" s="65"/>
      <c r="AM67" s="65"/>
      <c r="AN67" s="65"/>
      <c r="AO67" s="65"/>
      <c r="AP67" s="65"/>
      <c r="AQ67" s="65"/>
      <c r="AR67" s="65"/>
      <c r="AS67" s="65">
        <f>$AY$2+7900+550+$AY$3</f>
        <v>22850</v>
      </c>
      <c r="AT67" s="65"/>
      <c r="AU67" s="65"/>
      <c r="AV67" s="65"/>
      <c r="AW67" s="65"/>
      <c r="AX67" s="65"/>
      <c r="AY67" s="65"/>
      <c r="AZ67" s="65"/>
      <c r="BA67" s="65">
        <f>$AY$2+7900+800+$AY$3</f>
        <v>23100</v>
      </c>
      <c r="BB67" s="65"/>
      <c r="BC67" s="65"/>
      <c r="BD67" s="65"/>
      <c r="BE67" s="65"/>
      <c r="BF67" s="65"/>
      <c r="BG67" s="65"/>
      <c r="BH67" s="69"/>
    </row>
    <row r="68" spans="1:61" x14ac:dyDescent="0.15">
      <c r="A68" s="3"/>
      <c r="B68" s="3"/>
      <c r="H68" s="78">
        <v>45</v>
      </c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9">
        <f>$AY$2+8300+$AY$3</f>
        <v>22700</v>
      </c>
      <c r="V68" s="65"/>
      <c r="W68" s="65"/>
      <c r="X68" s="65"/>
      <c r="Y68" s="65"/>
      <c r="Z68" s="65"/>
      <c r="AA68" s="65"/>
      <c r="AB68" s="65"/>
      <c r="AC68" s="65">
        <f>$AY$2+8300+250+$AY$3</f>
        <v>22950</v>
      </c>
      <c r="AD68" s="65"/>
      <c r="AE68" s="65"/>
      <c r="AF68" s="65"/>
      <c r="AG68" s="65"/>
      <c r="AH68" s="65"/>
      <c r="AI68" s="65"/>
      <c r="AJ68" s="65"/>
      <c r="AK68" s="65">
        <f>$AY$2+8300+500+$AY$3</f>
        <v>23200</v>
      </c>
      <c r="AL68" s="65"/>
      <c r="AM68" s="65"/>
      <c r="AN68" s="65"/>
      <c r="AO68" s="65"/>
      <c r="AP68" s="65"/>
      <c r="AQ68" s="65"/>
      <c r="AR68" s="65"/>
      <c r="AS68" s="65">
        <f>$AY$2+8300+750+$AY$3</f>
        <v>23450</v>
      </c>
      <c r="AT68" s="65"/>
      <c r="AU68" s="65"/>
      <c r="AV68" s="65"/>
      <c r="AW68" s="65"/>
      <c r="AX68" s="65"/>
      <c r="AY68" s="65"/>
      <c r="AZ68" s="65"/>
      <c r="BA68" s="65">
        <f>$AY$2+8300+1000+$AY$3</f>
        <v>23700</v>
      </c>
      <c r="BB68" s="65"/>
      <c r="BC68" s="65"/>
      <c r="BD68" s="65"/>
      <c r="BE68" s="65"/>
      <c r="BF68" s="65"/>
      <c r="BG68" s="65"/>
      <c r="BH68" s="69"/>
    </row>
    <row r="69" spans="1:61" x14ac:dyDescent="0.15">
      <c r="A69" s="3"/>
      <c r="B69" s="3"/>
      <c r="H69" s="78">
        <v>48</v>
      </c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9">
        <f>$AY$2+9100+$AY$3</f>
        <v>23500</v>
      </c>
      <c r="V69" s="65"/>
      <c r="W69" s="65"/>
      <c r="X69" s="65"/>
      <c r="Y69" s="65"/>
      <c r="Z69" s="65"/>
      <c r="AA69" s="65"/>
      <c r="AB69" s="65"/>
      <c r="AC69" s="65">
        <f>$AY$2+8700+650+$AY$3</f>
        <v>23750</v>
      </c>
      <c r="AD69" s="65"/>
      <c r="AE69" s="65"/>
      <c r="AF69" s="65"/>
      <c r="AG69" s="65"/>
      <c r="AH69" s="65"/>
      <c r="AI69" s="65"/>
      <c r="AJ69" s="65"/>
      <c r="AK69" s="65">
        <f>$AY$2+8700+900+$AY$3</f>
        <v>24000</v>
      </c>
      <c r="AL69" s="65"/>
      <c r="AM69" s="65"/>
      <c r="AN69" s="65"/>
      <c r="AO69" s="65"/>
      <c r="AP69" s="65"/>
      <c r="AQ69" s="65"/>
      <c r="AR69" s="65"/>
      <c r="AS69" s="65">
        <f>$AY$2+8700+1150+$AY$3</f>
        <v>24250</v>
      </c>
      <c r="AT69" s="65"/>
      <c r="AU69" s="65"/>
      <c r="AV69" s="65"/>
      <c r="AW69" s="65"/>
      <c r="AX69" s="65"/>
      <c r="AY69" s="65"/>
      <c r="AZ69" s="65"/>
      <c r="BA69" s="65">
        <f>$AY$2+8700+1400+$AY$3</f>
        <v>24500</v>
      </c>
      <c r="BB69" s="65"/>
      <c r="BC69" s="65"/>
      <c r="BD69" s="65"/>
      <c r="BE69" s="65"/>
      <c r="BF69" s="65"/>
      <c r="BG69" s="65"/>
      <c r="BH69" s="69"/>
    </row>
    <row r="70" spans="1:61" x14ac:dyDescent="0.15">
      <c r="A70" s="3"/>
      <c r="B70" s="3"/>
      <c r="H70" s="78">
        <v>51</v>
      </c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9">
        <f>$AY$2+10200+$AY$3</f>
        <v>24600</v>
      </c>
      <c r="V70" s="65"/>
      <c r="W70" s="65"/>
      <c r="X70" s="65"/>
      <c r="Y70" s="65"/>
      <c r="Z70" s="65"/>
      <c r="AA70" s="65"/>
      <c r="AB70" s="65"/>
      <c r="AC70" s="65">
        <f>$AY$2+9800+650+$AY$3</f>
        <v>24850</v>
      </c>
      <c r="AD70" s="65"/>
      <c r="AE70" s="65"/>
      <c r="AF70" s="65"/>
      <c r="AG70" s="65"/>
      <c r="AH70" s="65"/>
      <c r="AI70" s="65"/>
      <c r="AJ70" s="65"/>
      <c r="AK70" s="65">
        <f>$AY$2+9800+900+$AY$3</f>
        <v>25100</v>
      </c>
      <c r="AL70" s="65"/>
      <c r="AM70" s="65"/>
      <c r="AN70" s="65"/>
      <c r="AO70" s="65"/>
      <c r="AP70" s="65"/>
      <c r="AQ70" s="65"/>
      <c r="AR70" s="65"/>
      <c r="AS70" s="65">
        <f>$AY$2+9800+1150+$AY$3</f>
        <v>25350</v>
      </c>
      <c r="AT70" s="65"/>
      <c r="AU70" s="65"/>
      <c r="AV70" s="65"/>
      <c r="AW70" s="65"/>
      <c r="AX70" s="65"/>
      <c r="AY70" s="65"/>
      <c r="AZ70" s="65"/>
      <c r="BA70" s="65">
        <f>$AY$2+9800+1400+$AY$3</f>
        <v>25600</v>
      </c>
      <c r="BB70" s="65"/>
      <c r="BC70" s="65"/>
      <c r="BD70" s="65"/>
      <c r="BE70" s="65"/>
      <c r="BF70" s="65"/>
      <c r="BG70" s="65"/>
      <c r="BH70" s="69"/>
    </row>
    <row r="71" spans="1:61" x14ac:dyDescent="0.15">
      <c r="A71" s="3"/>
      <c r="B71" s="3"/>
      <c r="H71" s="78">
        <v>54</v>
      </c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9">
        <f>$AY$2+11100+$AY$3</f>
        <v>25500</v>
      </c>
      <c r="V71" s="65"/>
      <c r="W71" s="65"/>
      <c r="X71" s="65"/>
      <c r="Y71" s="65"/>
      <c r="Z71" s="65"/>
      <c r="AA71" s="65"/>
      <c r="AB71" s="65"/>
      <c r="AC71" s="65">
        <f>$AY$2+10800+700+$AY$3</f>
        <v>25900</v>
      </c>
      <c r="AD71" s="65"/>
      <c r="AE71" s="65"/>
      <c r="AF71" s="65"/>
      <c r="AG71" s="65"/>
      <c r="AH71" s="65"/>
      <c r="AI71" s="65"/>
      <c r="AJ71" s="65"/>
      <c r="AK71" s="65">
        <f>$AY$2+10800+1000+$AY$3</f>
        <v>26200</v>
      </c>
      <c r="AL71" s="65"/>
      <c r="AM71" s="65"/>
      <c r="AN71" s="65"/>
      <c r="AO71" s="65"/>
      <c r="AP71" s="65"/>
      <c r="AQ71" s="65"/>
      <c r="AR71" s="65"/>
      <c r="AS71" s="65">
        <f>$AY$2+10800+1300+$AY$3</f>
        <v>26500</v>
      </c>
      <c r="AT71" s="65"/>
      <c r="AU71" s="65"/>
      <c r="AV71" s="65"/>
      <c r="AW71" s="65"/>
      <c r="AX71" s="65"/>
      <c r="AY71" s="65"/>
      <c r="AZ71" s="65"/>
      <c r="BA71" s="65">
        <f>$AY$2+10800+1600+$AY$3</f>
        <v>26800</v>
      </c>
      <c r="BB71" s="65"/>
      <c r="BC71" s="65"/>
      <c r="BD71" s="65"/>
      <c r="BE71" s="65"/>
      <c r="BF71" s="65"/>
      <c r="BG71" s="65"/>
      <c r="BH71" s="69"/>
    </row>
    <row r="72" spans="1:61" x14ac:dyDescent="0.15">
      <c r="A72" s="3"/>
      <c r="B72" s="3"/>
      <c r="H72" s="78">
        <v>57</v>
      </c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9">
        <f>$AY$2+12200+$AY$3</f>
        <v>26600</v>
      </c>
      <c r="V72" s="65"/>
      <c r="W72" s="65"/>
      <c r="X72" s="65"/>
      <c r="Y72" s="65"/>
      <c r="Z72" s="65"/>
      <c r="AA72" s="65"/>
      <c r="AB72" s="65"/>
      <c r="AC72" s="65">
        <f>$AY$2+11800+700+$AY$3</f>
        <v>26900</v>
      </c>
      <c r="AD72" s="65"/>
      <c r="AE72" s="65"/>
      <c r="AF72" s="65"/>
      <c r="AG72" s="65"/>
      <c r="AH72" s="65"/>
      <c r="AI72" s="65"/>
      <c r="AJ72" s="65"/>
      <c r="AK72" s="65">
        <f>$AY$2+11800+1000+$AY$3</f>
        <v>27200</v>
      </c>
      <c r="AL72" s="65"/>
      <c r="AM72" s="65"/>
      <c r="AN72" s="65"/>
      <c r="AO72" s="65"/>
      <c r="AP72" s="65"/>
      <c r="AQ72" s="65"/>
      <c r="AR72" s="65"/>
      <c r="AS72" s="65">
        <f>$AY$2+11800+1300+$AY$3</f>
        <v>27500</v>
      </c>
      <c r="AT72" s="65"/>
      <c r="AU72" s="65"/>
      <c r="AV72" s="65"/>
      <c r="AW72" s="65"/>
      <c r="AX72" s="65"/>
      <c r="AY72" s="65"/>
      <c r="AZ72" s="65"/>
      <c r="BA72" s="65">
        <f>$AY$2+11800+1600+$AY$3</f>
        <v>27800</v>
      </c>
      <c r="BB72" s="65"/>
      <c r="BC72" s="65"/>
      <c r="BD72" s="65"/>
      <c r="BE72" s="65"/>
      <c r="BF72" s="65"/>
      <c r="BG72" s="65"/>
      <c r="BH72" s="69"/>
    </row>
    <row r="73" spans="1:61" x14ac:dyDescent="0.15">
      <c r="A73" s="3"/>
      <c r="B73" s="3"/>
      <c r="H73" s="82">
        <v>60</v>
      </c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3">
        <f>$AY$2+13350+$AY$3</f>
        <v>27750</v>
      </c>
      <c r="V73" s="74"/>
      <c r="W73" s="74"/>
      <c r="X73" s="74"/>
      <c r="Y73" s="74"/>
      <c r="Z73" s="74"/>
      <c r="AA73" s="74"/>
      <c r="AB73" s="74"/>
      <c r="AC73" s="74">
        <f>$AY$2+13000+650+$AY$3</f>
        <v>28050</v>
      </c>
      <c r="AD73" s="74"/>
      <c r="AE73" s="74"/>
      <c r="AF73" s="74"/>
      <c r="AG73" s="74"/>
      <c r="AH73" s="74"/>
      <c r="AI73" s="74"/>
      <c r="AJ73" s="74"/>
      <c r="AK73" s="74">
        <f>$AY$2+13000+950+$AY$3</f>
        <v>28350</v>
      </c>
      <c r="AL73" s="74"/>
      <c r="AM73" s="74"/>
      <c r="AN73" s="74"/>
      <c r="AO73" s="74"/>
      <c r="AP73" s="74"/>
      <c r="AQ73" s="74"/>
      <c r="AR73" s="74"/>
      <c r="AS73" s="74">
        <f>$AY$2+13000+1250+$AY$3</f>
        <v>28650</v>
      </c>
      <c r="AT73" s="74"/>
      <c r="AU73" s="74"/>
      <c r="AV73" s="74"/>
      <c r="AW73" s="74"/>
      <c r="AX73" s="74"/>
      <c r="AY73" s="74"/>
      <c r="AZ73" s="74"/>
      <c r="BA73" s="74">
        <f>$AY$2+13000+1550+$AY$3</f>
        <v>28950</v>
      </c>
      <c r="BB73" s="74"/>
      <c r="BC73" s="74"/>
      <c r="BD73" s="74"/>
      <c r="BE73" s="74"/>
      <c r="BF73" s="74"/>
      <c r="BG73" s="74"/>
      <c r="BH73" s="75"/>
    </row>
    <row r="74" spans="1:61" x14ac:dyDescent="0.15">
      <c r="A74" s="3"/>
      <c r="B74" s="3"/>
    </row>
    <row r="75" spans="1:61" ht="17.25" customHeight="1" x14ac:dyDescent="0.15">
      <c r="A75" s="1"/>
      <c r="B75" s="1"/>
      <c r="G75" s="13" t="s">
        <v>84</v>
      </c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</row>
    <row r="76" spans="1:61" ht="17.25" customHeight="1" x14ac:dyDescent="0.15">
      <c r="A76" s="1"/>
      <c r="B76" s="1"/>
      <c r="G76" s="10"/>
      <c r="H76" s="10"/>
      <c r="I76" s="10" t="s">
        <v>48</v>
      </c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</row>
    <row r="77" spans="1:61" ht="17.25" customHeight="1" x14ac:dyDescent="0.15">
      <c r="A77" s="1"/>
      <c r="B77" s="1"/>
      <c r="H77" s="129" t="s">
        <v>69</v>
      </c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1"/>
      <c r="AI77" s="129" t="s">
        <v>70</v>
      </c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  <c r="BH77" s="130"/>
      <c r="BI77" s="132"/>
    </row>
    <row r="78" spans="1:61" ht="17.25" customHeight="1" x14ac:dyDescent="0.15">
      <c r="A78" s="1"/>
      <c r="B78" s="1"/>
      <c r="H78" s="133" t="s">
        <v>71</v>
      </c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5"/>
      <c r="AI78" s="133" t="s">
        <v>72</v>
      </c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6"/>
    </row>
    <row r="79" spans="1:61" ht="17.25" customHeight="1" x14ac:dyDescent="0.15">
      <c r="A79" s="1"/>
      <c r="B79" s="1"/>
      <c r="H79" s="137" t="s">
        <v>73</v>
      </c>
      <c r="I79" s="138"/>
      <c r="J79" s="138"/>
      <c r="K79" s="138"/>
      <c r="L79" s="138"/>
      <c r="M79" s="138"/>
      <c r="N79" s="138"/>
      <c r="O79" s="138"/>
      <c r="P79" s="138"/>
      <c r="Q79" s="138" t="s">
        <v>74</v>
      </c>
      <c r="R79" s="138"/>
      <c r="S79" s="138"/>
      <c r="T79" s="138"/>
      <c r="U79" s="138"/>
      <c r="V79" s="138"/>
      <c r="W79" s="138"/>
      <c r="X79" s="138"/>
      <c r="Y79" s="139"/>
      <c r="Z79" s="140">
        <f>$AY$2+1800+$AY$3</f>
        <v>16200</v>
      </c>
      <c r="AA79" s="141"/>
      <c r="AB79" s="141"/>
      <c r="AC79" s="141"/>
      <c r="AD79" s="141"/>
      <c r="AE79" s="141"/>
      <c r="AF79" s="141"/>
      <c r="AG79" s="141"/>
      <c r="AH79" s="142"/>
      <c r="AI79" s="137" t="s">
        <v>75</v>
      </c>
      <c r="AJ79" s="138"/>
      <c r="AK79" s="138"/>
      <c r="AL79" s="138"/>
      <c r="AM79" s="138"/>
      <c r="AN79" s="138"/>
      <c r="AO79" s="138"/>
      <c r="AP79" s="138"/>
      <c r="AQ79" s="138"/>
      <c r="AR79" s="138" t="s">
        <v>76</v>
      </c>
      <c r="AS79" s="138"/>
      <c r="AT79" s="138"/>
      <c r="AU79" s="138"/>
      <c r="AV79" s="138"/>
      <c r="AW79" s="138"/>
      <c r="AX79" s="138"/>
      <c r="AY79" s="138"/>
      <c r="AZ79" s="139"/>
      <c r="BA79" s="140">
        <f>$AY$2+3300+$AY$3</f>
        <v>17700</v>
      </c>
      <c r="BB79" s="141"/>
      <c r="BC79" s="141"/>
      <c r="BD79" s="141"/>
      <c r="BE79" s="141"/>
      <c r="BF79" s="141"/>
      <c r="BG79" s="141"/>
      <c r="BH79" s="141"/>
      <c r="BI79" s="143"/>
    </row>
    <row r="80" spans="1:61" ht="17.25" customHeight="1" x14ac:dyDescent="0.15">
      <c r="A80" s="1"/>
      <c r="B80" s="1"/>
      <c r="H80" s="144" t="s">
        <v>19</v>
      </c>
      <c r="I80" s="145"/>
      <c r="J80" s="145"/>
      <c r="K80" s="145"/>
      <c r="L80" s="145"/>
      <c r="M80" s="145"/>
      <c r="N80" s="145"/>
      <c r="O80" s="145"/>
      <c r="P80" s="145"/>
      <c r="Q80" s="145" t="s">
        <v>76</v>
      </c>
      <c r="R80" s="145"/>
      <c r="S80" s="145"/>
      <c r="T80" s="145"/>
      <c r="U80" s="145"/>
      <c r="V80" s="145"/>
      <c r="W80" s="145"/>
      <c r="X80" s="145"/>
      <c r="Y80" s="146"/>
      <c r="Z80" s="147">
        <f>$AY$2+2450+$AY$3</f>
        <v>16850</v>
      </c>
      <c r="AA80" s="148"/>
      <c r="AB80" s="148"/>
      <c r="AC80" s="148"/>
      <c r="AD80" s="148"/>
      <c r="AE80" s="148"/>
      <c r="AF80" s="148"/>
      <c r="AG80" s="148"/>
      <c r="AH80" s="149"/>
      <c r="AI80" s="144" t="s">
        <v>19</v>
      </c>
      <c r="AJ80" s="145"/>
      <c r="AK80" s="145"/>
      <c r="AL80" s="145"/>
      <c r="AM80" s="145"/>
      <c r="AN80" s="145"/>
      <c r="AO80" s="145"/>
      <c r="AP80" s="145"/>
      <c r="AQ80" s="145"/>
      <c r="AR80" s="145" t="s">
        <v>18</v>
      </c>
      <c r="AS80" s="145"/>
      <c r="AT80" s="145"/>
      <c r="AU80" s="145"/>
      <c r="AV80" s="145"/>
      <c r="AW80" s="145"/>
      <c r="AX80" s="145"/>
      <c r="AY80" s="145"/>
      <c r="AZ80" s="146"/>
      <c r="BA80" s="147">
        <f>$AY$2+4000+$AY$3</f>
        <v>18400</v>
      </c>
      <c r="BB80" s="148"/>
      <c r="BC80" s="148"/>
      <c r="BD80" s="148"/>
      <c r="BE80" s="148"/>
      <c r="BF80" s="148"/>
      <c r="BG80" s="148"/>
      <c r="BH80" s="148"/>
      <c r="BI80" s="150"/>
    </row>
    <row r="81" spans="1:61" ht="17.25" customHeight="1" x14ac:dyDescent="0.15">
      <c r="A81" s="1"/>
      <c r="B81" s="1"/>
      <c r="H81" s="144" t="s">
        <v>17</v>
      </c>
      <c r="I81" s="145"/>
      <c r="J81" s="145"/>
      <c r="K81" s="145"/>
      <c r="L81" s="145"/>
      <c r="M81" s="145"/>
      <c r="N81" s="145"/>
      <c r="O81" s="145"/>
      <c r="P81" s="145"/>
      <c r="Q81" s="145" t="s">
        <v>77</v>
      </c>
      <c r="R81" s="145"/>
      <c r="S81" s="145"/>
      <c r="T81" s="145"/>
      <c r="U81" s="145"/>
      <c r="V81" s="145"/>
      <c r="W81" s="145"/>
      <c r="X81" s="145"/>
      <c r="Y81" s="146"/>
      <c r="Z81" s="147">
        <f>$AY$2+800+$AY$3</f>
        <v>15200</v>
      </c>
      <c r="AA81" s="148"/>
      <c r="AB81" s="148"/>
      <c r="AC81" s="148"/>
      <c r="AD81" s="148"/>
      <c r="AE81" s="148"/>
      <c r="AF81" s="148"/>
      <c r="AG81" s="148"/>
      <c r="AH81" s="149"/>
      <c r="AI81" s="144" t="s">
        <v>78</v>
      </c>
      <c r="AJ81" s="145"/>
      <c r="AK81" s="145"/>
      <c r="AL81" s="145"/>
      <c r="AM81" s="145"/>
      <c r="AN81" s="145"/>
      <c r="AO81" s="145"/>
      <c r="AP81" s="145"/>
      <c r="AQ81" s="145"/>
      <c r="AR81" s="145" t="s">
        <v>49</v>
      </c>
      <c r="AS81" s="145"/>
      <c r="AT81" s="145"/>
      <c r="AU81" s="145"/>
      <c r="AV81" s="145"/>
      <c r="AW81" s="145"/>
      <c r="AX81" s="145"/>
      <c r="AY81" s="145"/>
      <c r="AZ81" s="146"/>
      <c r="BA81" s="147">
        <f>$AY$2+2300+$AY$3</f>
        <v>16700</v>
      </c>
      <c r="BB81" s="148"/>
      <c r="BC81" s="148"/>
      <c r="BD81" s="148"/>
      <c r="BE81" s="148"/>
      <c r="BF81" s="148"/>
      <c r="BG81" s="148"/>
      <c r="BH81" s="148"/>
      <c r="BI81" s="150"/>
    </row>
    <row r="82" spans="1:61" ht="17.25" customHeight="1" x14ac:dyDescent="0.15">
      <c r="A82" s="1"/>
      <c r="B82" s="1"/>
      <c r="H82" s="144" t="s">
        <v>79</v>
      </c>
      <c r="I82" s="145"/>
      <c r="J82" s="145"/>
      <c r="K82" s="145"/>
      <c r="L82" s="145"/>
      <c r="M82" s="145"/>
      <c r="N82" s="145"/>
      <c r="O82" s="145"/>
      <c r="P82" s="145"/>
      <c r="Q82" s="145" t="s">
        <v>80</v>
      </c>
      <c r="R82" s="145"/>
      <c r="S82" s="145"/>
      <c r="T82" s="145"/>
      <c r="U82" s="145"/>
      <c r="V82" s="145"/>
      <c r="W82" s="145"/>
      <c r="X82" s="145"/>
      <c r="Y82" s="146"/>
      <c r="Z82" s="147">
        <f>$AY$2+1450+$AY$3</f>
        <v>15850</v>
      </c>
      <c r="AA82" s="148"/>
      <c r="AB82" s="148"/>
      <c r="AC82" s="148"/>
      <c r="AD82" s="148"/>
      <c r="AE82" s="148"/>
      <c r="AF82" s="148"/>
      <c r="AG82" s="148"/>
      <c r="AH82" s="149"/>
      <c r="AI82" s="144" t="s">
        <v>81</v>
      </c>
      <c r="AJ82" s="145"/>
      <c r="AK82" s="145"/>
      <c r="AL82" s="145"/>
      <c r="AM82" s="145"/>
      <c r="AN82" s="145"/>
      <c r="AO82" s="145"/>
      <c r="AP82" s="145"/>
      <c r="AQ82" s="145"/>
      <c r="AR82" s="145" t="s">
        <v>82</v>
      </c>
      <c r="AS82" s="145"/>
      <c r="AT82" s="145"/>
      <c r="AU82" s="145"/>
      <c r="AV82" s="145"/>
      <c r="AW82" s="145"/>
      <c r="AX82" s="145"/>
      <c r="AY82" s="145"/>
      <c r="AZ82" s="146"/>
      <c r="BA82" s="147">
        <f>$AY$2+3000+$AY$3</f>
        <v>17400</v>
      </c>
      <c r="BB82" s="148"/>
      <c r="BC82" s="148"/>
      <c r="BD82" s="148"/>
      <c r="BE82" s="148"/>
      <c r="BF82" s="148"/>
      <c r="BG82" s="148"/>
      <c r="BH82" s="148"/>
      <c r="BI82" s="150"/>
    </row>
    <row r="83" spans="1:61" ht="17.25" customHeight="1" x14ac:dyDescent="0.15">
      <c r="A83" s="1"/>
      <c r="B83" s="1"/>
      <c r="H83" s="144" t="s">
        <v>73</v>
      </c>
      <c r="I83" s="145"/>
      <c r="J83" s="145"/>
      <c r="K83" s="145"/>
      <c r="L83" s="145"/>
      <c r="M83" s="145"/>
      <c r="N83" s="145"/>
      <c r="O83" s="145"/>
      <c r="P83" s="145"/>
      <c r="Q83" s="145" t="s">
        <v>50</v>
      </c>
      <c r="R83" s="145"/>
      <c r="S83" s="145"/>
      <c r="T83" s="145"/>
      <c r="U83" s="145"/>
      <c r="V83" s="145"/>
      <c r="W83" s="145"/>
      <c r="X83" s="145"/>
      <c r="Y83" s="146"/>
      <c r="Z83" s="147">
        <f>$AY$2+4300+$AY$3</f>
        <v>18700</v>
      </c>
      <c r="AA83" s="148"/>
      <c r="AB83" s="148"/>
      <c r="AC83" s="148"/>
      <c r="AD83" s="148"/>
      <c r="AE83" s="148"/>
      <c r="AF83" s="148"/>
      <c r="AG83" s="148"/>
      <c r="AH83" s="149"/>
      <c r="AI83" s="144" t="s">
        <v>73</v>
      </c>
      <c r="AJ83" s="145"/>
      <c r="AK83" s="145"/>
      <c r="AL83" s="145"/>
      <c r="AM83" s="145"/>
      <c r="AN83" s="145"/>
      <c r="AO83" s="145"/>
      <c r="AP83" s="145"/>
      <c r="AQ83" s="145"/>
      <c r="AR83" s="145" t="s">
        <v>50</v>
      </c>
      <c r="AS83" s="145"/>
      <c r="AT83" s="145"/>
      <c r="AU83" s="145"/>
      <c r="AV83" s="145"/>
      <c r="AW83" s="145"/>
      <c r="AX83" s="145"/>
      <c r="AY83" s="145"/>
      <c r="AZ83" s="146"/>
      <c r="BA83" s="147">
        <f>$AY$2+5800+$AY$3</f>
        <v>20200</v>
      </c>
      <c r="BB83" s="148"/>
      <c r="BC83" s="148"/>
      <c r="BD83" s="148"/>
      <c r="BE83" s="148"/>
      <c r="BF83" s="148"/>
      <c r="BG83" s="148"/>
      <c r="BH83" s="148"/>
      <c r="BI83" s="150"/>
    </row>
    <row r="84" spans="1:61" ht="17.25" customHeight="1" x14ac:dyDescent="0.15">
      <c r="A84" s="1"/>
      <c r="B84" s="1"/>
      <c r="H84" s="151" t="s">
        <v>79</v>
      </c>
      <c r="I84" s="152"/>
      <c r="J84" s="152"/>
      <c r="K84" s="152"/>
      <c r="L84" s="152"/>
      <c r="M84" s="152"/>
      <c r="N84" s="152"/>
      <c r="O84" s="152"/>
      <c r="P84" s="152"/>
      <c r="Q84" s="152" t="s">
        <v>50</v>
      </c>
      <c r="R84" s="152"/>
      <c r="S84" s="152"/>
      <c r="T84" s="152"/>
      <c r="U84" s="152"/>
      <c r="V84" s="152"/>
      <c r="W84" s="152"/>
      <c r="X84" s="152"/>
      <c r="Y84" s="153"/>
      <c r="Z84" s="154">
        <f>$AY$2+4950+$AY$3</f>
        <v>19350</v>
      </c>
      <c r="AA84" s="155"/>
      <c r="AB84" s="155"/>
      <c r="AC84" s="155"/>
      <c r="AD84" s="155"/>
      <c r="AE84" s="155"/>
      <c r="AF84" s="155"/>
      <c r="AG84" s="155"/>
      <c r="AH84" s="156"/>
      <c r="AI84" s="151" t="s">
        <v>83</v>
      </c>
      <c r="AJ84" s="152"/>
      <c r="AK84" s="152"/>
      <c r="AL84" s="152"/>
      <c r="AM84" s="152"/>
      <c r="AN84" s="152"/>
      <c r="AO84" s="152"/>
      <c r="AP84" s="152"/>
      <c r="AQ84" s="152"/>
      <c r="AR84" s="152" t="s">
        <v>50</v>
      </c>
      <c r="AS84" s="152"/>
      <c r="AT84" s="152"/>
      <c r="AU84" s="152"/>
      <c r="AV84" s="152"/>
      <c r="AW84" s="152"/>
      <c r="AX84" s="152"/>
      <c r="AY84" s="152"/>
      <c r="AZ84" s="153"/>
      <c r="BA84" s="154">
        <f>$AY$2+6500+$AY$3</f>
        <v>20900</v>
      </c>
      <c r="BB84" s="155"/>
      <c r="BC84" s="155"/>
      <c r="BD84" s="155"/>
      <c r="BE84" s="155"/>
      <c r="BF84" s="155"/>
      <c r="BG84" s="155"/>
      <c r="BH84" s="155"/>
      <c r="BI84" s="157"/>
    </row>
    <row r="85" spans="1:61" ht="17.25" customHeight="1" x14ac:dyDescent="0.15">
      <c r="A85" s="1"/>
      <c r="B85" s="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2"/>
      <c r="AA85" s="12"/>
      <c r="AB85" s="12"/>
      <c r="AC85" s="12"/>
      <c r="AD85" s="12"/>
      <c r="AE85" s="12"/>
      <c r="AF85" s="12"/>
      <c r="AG85" s="12"/>
      <c r="AH85" s="12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2"/>
      <c r="BB85" s="12"/>
      <c r="BC85" s="12"/>
      <c r="BD85" s="12"/>
      <c r="BE85" s="12"/>
      <c r="BF85" s="12"/>
      <c r="BG85" s="12"/>
      <c r="BH85" s="12"/>
      <c r="BI85" s="12"/>
    </row>
    <row r="86" spans="1:61" x14ac:dyDescent="0.15">
      <c r="A86" s="3"/>
      <c r="B86" s="3"/>
      <c r="G86" t="s">
        <v>60</v>
      </c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</row>
    <row r="87" spans="1:61" x14ac:dyDescent="0.15">
      <c r="A87" s="3"/>
      <c r="B87" s="3"/>
      <c r="G87" s="10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9" t="s">
        <v>59</v>
      </c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53" t="s">
        <v>41</v>
      </c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 t="s">
        <v>42</v>
      </c>
      <c r="AR87" s="53"/>
      <c r="AS87" s="53"/>
      <c r="AT87" s="53"/>
      <c r="AU87" s="53"/>
      <c r="AV87" s="53"/>
      <c r="AW87" s="53"/>
      <c r="AX87" s="53"/>
      <c r="AY87" s="53"/>
      <c r="AZ87" s="53"/>
      <c r="BA87" s="88"/>
    </row>
    <row r="88" spans="1:61" x14ac:dyDescent="0.15">
      <c r="A88" s="3"/>
      <c r="B88" s="3"/>
      <c r="H88" s="87" t="s">
        <v>32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1">
        <f>$AY$2+10600+$AY$3</f>
        <v>25000</v>
      </c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>
        <f>$AY$2+12500+$AY$3</f>
        <v>26900</v>
      </c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>
        <f>$AY$2+14300+$AY$3</f>
        <v>28700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60"/>
    </row>
    <row r="89" spans="1:61" ht="13.5" customHeight="1" x14ac:dyDescent="0.15">
      <c r="A89" s="3"/>
      <c r="B89" s="3"/>
      <c r="H89" s="78" t="s">
        <v>33</v>
      </c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9" t="s">
        <v>85</v>
      </c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 t="s">
        <v>85</v>
      </c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 t="s">
        <v>86</v>
      </c>
      <c r="AR89" s="65"/>
      <c r="AS89" s="65"/>
      <c r="AT89" s="65"/>
      <c r="AU89" s="65"/>
      <c r="AV89" s="65"/>
      <c r="AW89" s="65"/>
      <c r="AX89" s="65"/>
      <c r="AY89" s="65"/>
      <c r="AZ89" s="65"/>
      <c r="BA89" s="69"/>
    </row>
    <row r="90" spans="1:61" ht="13.5" customHeight="1" x14ac:dyDescent="0.15">
      <c r="A90" s="3"/>
      <c r="B90" s="3"/>
      <c r="H90" s="85" t="s">
        <v>34</v>
      </c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79">
        <f>$AY$2+5600+$AY$3</f>
        <v>20000</v>
      </c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>
        <f>$AY$2+5600+1300+$AY$3</f>
        <v>21300</v>
      </c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>
        <f>$AY$2+5600+3100+$AY$3</f>
        <v>23100</v>
      </c>
      <c r="AR90" s="65"/>
      <c r="AS90" s="65"/>
      <c r="AT90" s="65"/>
      <c r="AU90" s="65"/>
      <c r="AV90" s="65"/>
      <c r="AW90" s="65"/>
      <c r="AX90" s="65"/>
      <c r="AY90" s="65"/>
      <c r="AZ90" s="65"/>
      <c r="BA90" s="69"/>
    </row>
    <row r="91" spans="1:61" ht="14.25" customHeight="1" x14ac:dyDescent="0.15">
      <c r="A91" s="3"/>
      <c r="B91" s="3"/>
      <c r="H91" s="78" t="s">
        <v>35</v>
      </c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9">
        <f>$AY$2+4300+$AY$3</f>
        <v>18700</v>
      </c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>
        <f>$AY$2+4600+800+$AY$3</f>
        <v>19800</v>
      </c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>
        <f>$AY$2+4600+2600+$AY$3</f>
        <v>21600</v>
      </c>
      <c r="AR91" s="65"/>
      <c r="AS91" s="65"/>
      <c r="AT91" s="65"/>
      <c r="AU91" s="65"/>
      <c r="AV91" s="65"/>
      <c r="AW91" s="65"/>
      <c r="AX91" s="65"/>
      <c r="AY91" s="65"/>
      <c r="AZ91" s="65"/>
      <c r="BA91" s="69"/>
    </row>
    <row r="92" spans="1:61" ht="13.5" customHeight="1" x14ac:dyDescent="0.15">
      <c r="A92" s="3"/>
      <c r="B92" s="3"/>
      <c r="H92" s="85" t="s">
        <v>36</v>
      </c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79">
        <f>$AY$2+3000+$AY$3</f>
        <v>17400</v>
      </c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>
        <f>$AY$2+3600+400+$AY$3</f>
        <v>18400</v>
      </c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>
        <f>$AY$2+3600+2200+$AY$3</f>
        <v>20200</v>
      </c>
      <c r="AR92" s="65"/>
      <c r="AS92" s="65"/>
      <c r="AT92" s="65"/>
      <c r="AU92" s="65"/>
      <c r="AV92" s="65"/>
      <c r="AW92" s="65"/>
      <c r="AX92" s="65"/>
      <c r="AY92" s="65"/>
      <c r="AZ92" s="65"/>
      <c r="BA92" s="69"/>
    </row>
    <row r="93" spans="1:61" ht="13.5" customHeight="1" x14ac:dyDescent="0.15">
      <c r="A93" s="3"/>
      <c r="B93" s="3"/>
      <c r="H93" s="85" t="s">
        <v>37</v>
      </c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79" t="s">
        <v>85</v>
      </c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 t="s">
        <v>85</v>
      </c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 t="s">
        <v>85</v>
      </c>
      <c r="AR93" s="65"/>
      <c r="AS93" s="65"/>
      <c r="AT93" s="65"/>
      <c r="AU93" s="65"/>
      <c r="AV93" s="65"/>
      <c r="AW93" s="65"/>
      <c r="AX93" s="65"/>
      <c r="AY93" s="65"/>
      <c r="AZ93" s="65"/>
      <c r="BA93" s="69"/>
    </row>
    <row r="94" spans="1:61" ht="13.5" customHeight="1" x14ac:dyDescent="0.15">
      <c r="A94" s="3"/>
      <c r="B94" s="3"/>
      <c r="H94" s="85" t="s">
        <v>38</v>
      </c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79">
        <f>$AY$2+1700+$AY$3</f>
        <v>16100</v>
      </c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>
        <f>$AY$2+2600+1400+$AY$3</f>
        <v>18400</v>
      </c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>
        <f>$AY$2+2600+3200+$AY$3</f>
        <v>20200</v>
      </c>
      <c r="AR94" s="65"/>
      <c r="AS94" s="65"/>
      <c r="AT94" s="65"/>
      <c r="AU94" s="65"/>
      <c r="AV94" s="65"/>
      <c r="AW94" s="65"/>
      <c r="AX94" s="65"/>
      <c r="AY94" s="65"/>
      <c r="AZ94" s="65"/>
      <c r="BA94" s="69"/>
    </row>
    <row r="95" spans="1:61" ht="13.5" customHeight="1" x14ac:dyDescent="0.15">
      <c r="A95" s="3"/>
      <c r="B95" s="3"/>
      <c r="H95" s="85" t="s">
        <v>39</v>
      </c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79">
        <f>$AY$2+1050+$AY$3</f>
        <v>15450</v>
      </c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>
        <f>$AY$2+1650+$AY$3</f>
        <v>16050</v>
      </c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>
        <f>$AY$2+1700+1750+$AY$3</f>
        <v>17850</v>
      </c>
      <c r="AR95" s="65"/>
      <c r="AS95" s="65"/>
      <c r="AT95" s="65"/>
      <c r="AU95" s="65"/>
      <c r="AV95" s="65"/>
      <c r="AW95" s="65"/>
      <c r="AX95" s="65"/>
      <c r="AY95" s="65"/>
      <c r="AZ95" s="65"/>
      <c r="BA95" s="69"/>
    </row>
    <row r="96" spans="1:61" ht="13.5" customHeight="1" x14ac:dyDescent="0.15">
      <c r="A96" s="3"/>
      <c r="B96" s="3"/>
      <c r="H96" s="86" t="s">
        <v>40</v>
      </c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3" t="s">
        <v>87</v>
      </c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 t="s">
        <v>85</v>
      </c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 t="s">
        <v>85</v>
      </c>
      <c r="AR96" s="74"/>
      <c r="AS96" s="74"/>
      <c r="AT96" s="74"/>
      <c r="AU96" s="74"/>
      <c r="AV96" s="74"/>
      <c r="AW96" s="74"/>
      <c r="AX96" s="74"/>
      <c r="AY96" s="74"/>
      <c r="AZ96" s="74"/>
      <c r="BA96" s="75"/>
    </row>
    <row r="97" spans="1:49" ht="13.5" customHeight="1" x14ac:dyDescent="0.15">
      <c r="A97" s="3"/>
      <c r="B97" s="3"/>
    </row>
    <row r="98" spans="1:49" x14ac:dyDescent="0.15">
      <c r="A98" s="3"/>
      <c r="B98" s="3"/>
      <c r="G98" t="s">
        <v>43</v>
      </c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49" ht="13.5" customHeight="1" x14ac:dyDescent="0.15">
      <c r="A99" s="3"/>
      <c r="B99" s="1"/>
      <c r="G99" t="s">
        <v>44</v>
      </c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49" x14ac:dyDescent="0.15">
      <c r="A100" s="1"/>
      <c r="B100" s="1"/>
      <c r="G100" t="s">
        <v>45</v>
      </c>
    </row>
    <row r="101" spans="1:49" x14ac:dyDescent="0.15">
      <c r="A101" s="1"/>
      <c r="B101" s="1"/>
      <c r="H101" s="91" t="s">
        <v>1</v>
      </c>
      <c r="I101" s="92"/>
      <c r="J101" s="92"/>
      <c r="K101" s="92"/>
      <c r="L101" s="92"/>
      <c r="M101" s="92"/>
      <c r="N101" s="92"/>
      <c r="O101" s="92"/>
      <c r="P101" s="92"/>
      <c r="Q101" s="93"/>
      <c r="R101" s="97" t="s">
        <v>2</v>
      </c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9"/>
    </row>
    <row r="102" spans="1:49" ht="46.5" customHeight="1" x14ac:dyDescent="0.15">
      <c r="A102" s="1"/>
      <c r="B102" s="1"/>
      <c r="H102" s="94"/>
      <c r="I102" s="95"/>
      <c r="J102" s="95"/>
      <c r="K102" s="95"/>
      <c r="L102" s="95"/>
      <c r="M102" s="95"/>
      <c r="N102" s="95"/>
      <c r="O102" s="95"/>
      <c r="P102" s="95"/>
      <c r="Q102" s="96"/>
      <c r="R102" s="100" t="s">
        <v>3</v>
      </c>
      <c r="S102" s="101"/>
      <c r="T102" s="101"/>
      <c r="U102" s="101"/>
      <c r="V102" s="101"/>
      <c r="W102" s="101"/>
      <c r="X102" s="102" t="s">
        <v>61</v>
      </c>
      <c r="Y102" s="102"/>
      <c r="Z102" s="102"/>
      <c r="AA102" s="102"/>
      <c r="AB102" s="102"/>
      <c r="AC102" s="102"/>
      <c r="AD102" s="102"/>
      <c r="AE102" s="102"/>
      <c r="AF102" s="102"/>
      <c r="AG102" s="103"/>
      <c r="AH102" s="100" t="s">
        <v>3</v>
      </c>
      <c r="AI102" s="101"/>
      <c r="AJ102" s="101"/>
      <c r="AK102" s="101"/>
      <c r="AL102" s="101"/>
      <c r="AM102" s="101"/>
      <c r="AN102" s="102" t="s">
        <v>62</v>
      </c>
      <c r="AO102" s="102"/>
      <c r="AP102" s="102"/>
      <c r="AQ102" s="102"/>
      <c r="AR102" s="102"/>
      <c r="AS102" s="102"/>
      <c r="AT102" s="102"/>
      <c r="AU102" s="102"/>
      <c r="AV102" s="102"/>
      <c r="AW102" s="104"/>
    </row>
    <row r="103" spans="1:49" ht="14.25" customHeight="1" x14ac:dyDescent="0.15">
      <c r="A103" s="1"/>
      <c r="B103" s="1"/>
      <c r="H103" s="105">
        <v>65</v>
      </c>
      <c r="I103" s="106"/>
      <c r="J103" s="106"/>
      <c r="K103" s="106"/>
      <c r="L103" s="106"/>
      <c r="M103" s="106"/>
      <c r="N103" s="106"/>
      <c r="O103" s="106"/>
      <c r="P103" s="106"/>
      <c r="Q103" s="107"/>
      <c r="R103" s="108">
        <v>21</v>
      </c>
      <c r="S103" s="109"/>
      <c r="T103" s="109"/>
      <c r="U103" s="109"/>
      <c r="V103" s="109"/>
      <c r="W103" s="109"/>
      <c r="X103" s="110">
        <f>$AY$2+300+$AY$3</f>
        <v>14700</v>
      </c>
      <c r="Y103" s="110"/>
      <c r="Z103" s="110"/>
      <c r="AA103" s="110"/>
      <c r="AB103" s="110"/>
      <c r="AC103" s="110"/>
      <c r="AD103" s="110"/>
      <c r="AE103" s="110"/>
      <c r="AF103" s="110"/>
      <c r="AG103" s="111"/>
      <c r="AH103" s="108" t="s">
        <v>46</v>
      </c>
      <c r="AI103" s="109"/>
      <c r="AJ103" s="109"/>
      <c r="AK103" s="109"/>
      <c r="AL103" s="109"/>
      <c r="AM103" s="109"/>
      <c r="AN103" s="110" t="s">
        <v>46</v>
      </c>
      <c r="AO103" s="110"/>
      <c r="AP103" s="110"/>
      <c r="AQ103" s="110"/>
      <c r="AR103" s="110"/>
      <c r="AS103" s="110"/>
      <c r="AT103" s="110"/>
      <c r="AU103" s="110"/>
      <c r="AV103" s="110"/>
      <c r="AW103" s="112"/>
    </row>
    <row r="104" spans="1:49" x14ac:dyDescent="0.15">
      <c r="A104" s="1"/>
      <c r="B104" s="1"/>
      <c r="H104" s="113">
        <v>60</v>
      </c>
      <c r="I104" s="114"/>
      <c r="J104" s="114"/>
      <c r="K104" s="114"/>
      <c r="L104" s="114"/>
      <c r="M104" s="114"/>
      <c r="N104" s="114"/>
      <c r="O104" s="114"/>
      <c r="P104" s="114"/>
      <c r="Q104" s="115"/>
      <c r="R104" s="116">
        <v>24</v>
      </c>
      <c r="S104" s="117"/>
      <c r="T104" s="117"/>
      <c r="U104" s="117"/>
      <c r="V104" s="117"/>
      <c r="W104" s="117"/>
      <c r="X104" s="118">
        <f>$AY$2+600+$AY$3</f>
        <v>15000</v>
      </c>
      <c r="Y104" s="118"/>
      <c r="Z104" s="118"/>
      <c r="AA104" s="118"/>
      <c r="AB104" s="118"/>
      <c r="AC104" s="118"/>
      <c r="AD104" s="118"/>
      <c r="AE104" s="118"/>
      <c r="AF104" s="118"/>
      <c r="AG104" s="119"/>
      <c r="AH104" s="116" t="s">
        <v>46</v>
      </c>
      <c r="AI104" s="117"/>
      <c r="AJ104" s="117"/>
      <c r="AK104" s="117"/>
      <c r="AL104" s="117"/>
      <c r="AM104" s="117"/>
      <c r="AN104" s="118" t="s">
        <v>46</v>
      </c>
      <c r="AO104" s="118"/>
      <c r="AP104" s="118"/>
      <c r="AQ104" s="118"/>
      <c r="AR104" s="118"/>
      <c r="AS104" s="118"/>
      <c r="AT104" s="118"/>
      <c r="AU104" s="118"/>
      <c r="AV104" s="118"/>
      <c r="AW104" s="120"/>
    </row>
    <row r="105" spans="1:49" x14ac:dyDescent="0.15">
      <c r="A105" s="1"/>
      <c r="B105" s="1"/>
      <c r="H105" s="113">
        <v>55</v>
      </c>
      <c r="I105" s="114"/>
      <c r="J105" s="114"/>
      <c r="K105" s="114"/>
      <c r="L105" s="114"/>
      <c r="M105" s="114"/>
      <c r="N105" s="114"/>
      <c r="O105" s="114"/>
      <c r="P105" s="114"/>
      <c r="Q105" s="115"/>
      <c r="R105" s="116">
        <v>27</v>
      </c>
      <c r="S105" s="117"/>
      <c r="T105" s="117"/>
      <c r="U105" s="117"/>
      <c r="V105" s="117"/>
      <c r="W105" s="117"/>
      <c r="X105" s="118">
        <f>$AY$2+900+$AY$3</f>
        <v>15300</v>
      </c>
      <c r="Y105" s="118"/>
      <c r="Z105" s="118"/>
      <c r="AA105" s="118"/>
      <c r="AB105" s="118"/>
      <c r="AC105" s="118"/>
      <c r="AD105" s="118"/>
      <c r="AE105" s="118"/>
      <c r="AF105" s="118"/>
      <c r="AG105" s="119"/>
      <c r="AH105" s="116">
        <v>27</v>
      </c>
      <c r="AI105" s="117"/>
      <c r="AJ105" s="117"/>
      <c r="AK105" s="117"/>
      <c r="AL105" s="117"/>
      <c r="AM105" s="117"/>
      <c r="AN105" s="118">
        <f>$AY$2+1700+$AY$3</f>
        <v>16100</v>
      </c>
      <c r="AO105" s="118"/>
      <c r="AP105" s="118"/>
      <c r="AQ105" s="118"/>
      <c r="AR105" s="118"/>
      <c r="AS105" s="118"/>
      <c r="AT105" s="118"/>
      <c r="AU105" s="118"/>
      <c r="AV105" s="118"/>
      <c r="AW105" s="120"/>
    </row>
    <row r="106" spans="1:49" x14ac:dyDescent="0.15">
      <c r="A106" s="1"/>
      <c r="B106" s="1"/>
      <c r="H106" s="121">
        <v>50</v>
      </c>
      <c r="I106" s="122"/>
      <c r="J106" s="122"/>
      <c r="K106" s="122"/>
      <c r="L106" s="122"/>
      <c r="M106" s="122"/>
      <c r="N106" s="122"/>
      <c r="O106" s="122"/>
      <c r="P106" s="122"/>
      <c r="Q106" s="123"/>
      <c r="R106" s="124">
        <v>30</v>
      </c>
      <c r="S106" s="125"/>
      <c r="T106" s="125"/>
      <c r="U106" s="125"/>
      <c r="V106" s="125"/>
      <c r="W106" s="125"/>
      <c r="X106" s="126">
        <f>$AY$2+1200+$AY$3</f>
        <v>15600</v>
      </c>
      <c r="Y106" s="126"/>
      <c r="Z106" s="126"/>
      <c r="AA106" s="126"/>
      <c r="AB106" s="126"/>
      <c r="AC106" s="126"/>
      <c r="AD106" s="126"/>
      <c r="AE106" s="126"/>
      <c r="AF106" s="126"/>
      <c r="AG106" s="127"/>
      <c r="AH106" s="124">
        <v>30</v>
      </c>
      <c r="AI106" s="125"/>
      <c r="AJ106" s="125"/>
      <c r="AK106" s="125"/>
      <c r="AL106" s="125"/>
      <c r="AM106" s="125"/>
      <c r="AN106" s="126">
        <f>$AY$2+2000+$AY$3</f>
        <v>16400</v>
      </c>
      <c r="AO106" s="126"/>
      <c r="AP106" s="126"/>
      <c r="AQ106" s="126"/>
      <c r="AR106" s="126"/>
      <c r="AS106" s="126"/>
      <c r="AT106" s="126"/>
      <c r="AU106" s="126"/>
      <c r="AV106" s="126"/>
      <c r="AW106" s="128"/>
    </row>
    <row r="107" spans="1:49" x14ac:dyDescent="0.15">
      <c r="A107" s="1"/>
      <c r="B107" s="1"/>
    </row>
    <row r="108" spans="1:49" x14ac:dyDescent="0.15">
      <c r="A108" s="1"/>
      <c r="B108" s="1"/>
    </row>
    <row r="109" spans="1:49" x14ac:dyDescent="0.15">
      <c r="A109" s="1"/>
      <c r="B109" s="1"/>
    </row>
    <row r="110" spans="1:49" x14ac:dyDescent="0.15">
      <c r="A110" s="1"/>
      <c r="B110" s="1"/>
    </row>
    <row r="111" spans="1:49" x14ac:dyDescent="0.15">
      <c r="A111" s="1"/>
      <c r="B111" s="1"/>
    </row>
    <row r="112" spans="1:49" x14ac:dyDescent="0.15">
      <c r="A112" s="1"/>
      <c r="B112" s="1"/>
    </row>
    <row r="113" spans="1:2" x14ac:dyDescent="0.15">
      <c r="A113" s="1"/>
      <c r="B113" s="1"/>
    </row>
    <row r="114" spans="1:2" ht="14.25" customHeight="1" x14ac:dyDescent="0.15">
      <c r="A114" s="1"/>
      <c r="B114" s="1"/>
    </row>
    <row r="115" spans="1:2" x14ac:dyDescent="0.15">
      <c r="A115" s="1"/>
      <c r="B115" s="1"/>
    </row>
    <row r="116" spans="1:2" ht="14.25" customHeight="1" x14ac:dyDescent="0.15">
      <c r="A116" s="1"/>
      <c r="B116" s="1"/>
    </row>
    <row r="117" spans="1:2" x14ac:dyDescent="0.15">
      <c r="A117" s="1"/>
      <c r="B117" s="1"/>
    </row>
    <row r="118" spans="1:2" x14ac:dyDescent="0.15">
      <c r="A118" s="1"/>
      <c r="B118" s="1"/>
    </row>
    <row r="119" spans="1:2" x14ac:dyDescent="0.15">
      <c r="A119" s="1"/>
      <c r="B119" s="1"/>
    </row>
    <row r="120" spans="1:2" x14ac:dyDescent="0.15">
      <c r="A120" s="1"/>
      <c r="B120" s="1"/>
    </row>
    <row r="121" spans="1:2" x14ac:dyDescent="0.15">
      <c r="A121" s="1"/>
      <c r="B121" s="1"/>
    </row>
    <row r="122" spans="1:2" x14ac:dyDescent="0.15">
      <c r="A122" s="1"/>
      <c r="B122" s="1"/>
    </row>
    <row r="123" spans="1:2" x14ac:dyDescent="0.15">
      <c r="A123" s="1"/>
      <c r="B123" s="1"/>
    </row>
    <row r="124" spans="1:2" x14ac:dyDescent="0.15">
      <c r="A124" s="1"/>
      <c r="B124" s="1"/>
    </row>
    <row r="125" spans="1:2" x14ac:dyDescent="0.15">
      <c r="A125" s="1"/>
      <c r="B125" s="1"/>
    </row>
    <row r="126" spans="1:2" x14ac:dyDescent="0.15">
      <c r="A126" s="1"/>
      <c r="B126" s="1"/>
    </row>
    <row r="127" spans="1:2" x14ac:dyDescent="0.15">
      <c r="A127" s="1"/>
      <c r="B127" s="1"/>
    </row>
    <row r="128" spans="1:2" x14ac:dyDescent="0.15">
      <c r="A128" s="1"/>
      <c r="B128" s="1"/>
    </row>
    <row r="129" spans="1:2" ht="13.5" customHeight="1" x14ac:dyDescent="0.15">
      <c r="A129" s="1"/>
      <c r="B129" s="1"/>
    </row>
    <row r="130" spans="1:2" ht="13.5" customHeight="1" x14ac:dyDescent="0.15">
      <c r="A130" s="1"/>
      <c r="B130" s="1"/>
    </row>
    <row r="131" spans="1:2" x14ac:dyDescent="0.15">
      <c r="A131" s="1"/>
      <c r="B131" s="1"/>
    </row>
    <row r="132" spans="1:2" x14ac:dyDescent="0.15">
      <c r="A132" s="1"/>
      <c r="B132" s="1"/>
    </row>
    <row r="133" spans="1:2" x14ac:dyDescent="0.15">
      <c r="A133" s="1"/>
      <c r="B133" s="1"/>
    </row>
    <row r="134" spans="1:2" x14ac:dyDescent="0.15">
      <c r="A134" s="1"/>
      <c r="B134" s="1"/>
    </row>
    <row r="135" spans="1:2" x14ac:dyDescent="0.15">
      <c r="A135" s="1"/>
      <c r="B135" s="1"/>
    </row>
  </sheetData>
  <mergeCells count="363">
    <mergeCell ref="H105:Q105"/>
    <mergeCell ref="R105:W105"/>
    <mergeCell ref="X105:AG105"/>
    <mergeCell ref="AH105:AM105"/>
    <mergeCell ref="AN105:AW105"/>
    <mergeCell ref="H106:Q106"/>
    <mergeCell ref="R106:W106"/>
    <mergeCell ref="X106:AG106"/>
    <mergeCell ref="AH106:AM106"/>
    <mergeCell ref="AN106:AW106"/>
    <mergeCell ref="H103:Q103"/>
    <mergeCell ref="R103:W103"/>
    <mergeCell ref="X103:AG103"/>
    <mergeCell ref="AH103:AM103"/>
    <mergeCell ref="AN103:AW103"/>
    <mergeCell ref="H104:Q104"/>
    <mergeCell ref="R104:W104"/>
    <mergeCell ref="X104:AG104"/>
    <mergeCell ref="AH104:AM104"/>
    <mergeCell ref="AN104:AW104"/>
    <mergeCell ref="H101:Q102"/>
    <mergeCell ref="R101:AW101"/>
    <mergeCell ref="R102:W102"/>
    <mergeCell ref="X102:AG102"/>
    <mergeCell ref="AH102:AM102"/>
    <mergeCell ref="AN102:AW102"/>
    <mergeCell ref="H95:T95"/>
    <mergeCell ref="U95:AE95"/>
    <mergeCell ref="AF95:AP95"/>
    <mergeCell ref="AQ95:BA95"/>
    <mergeCell ref="H96:T96"/>
    <mergeCell ref="U96:AE96"/>
    <mergeCell ref="AF96:AP96"/>
    <mergeCell ref="AQ96:BA96"/>
    <mergeCell ref="H93:T93"/>
    <mergeCell ref="U93:AE93"/>
    <mergeCell ref="AF93:AP93"/>
    <mergeCell ref="AQ93:BA93"/>
    <mergeCell ref="H94:T94"/>
    <mergeCell ref="U94:AE94"/>
    <mergeCell ref="AF94:AP94"/>
    <mergeCell ref="AQ94:BA94"/>
    <mergeCell ref="H91:T91"/>
    <mergeCell ref="U91:AE91"/>
    <mergeCell ref="AF91:AP91"/>
    <mergeCell ref="AQ91:BA91"/>
    <mergeCell ref="H92:T92"/>
    <mergeCell ref="U92:AE92"/>
    <mergeCell ref="AF92:AP92"/>
    <mergeCell ref="AQ92:BA92"/>
    <mergeCell ref="H89:T89"/>
    <mergeCell ref="U89:AE89"/>
    <mergeCell ref="AF89:AP89"/>
    <mergeCell ref="AQ89:BA89"/>
    <mergeCell ref="H90:T90"/>
    <mergeCell ref="U90:AE90"/>
    <mergeCell ref="AF90:AP90"/>
    <mergeCell ref="AQ90:BA90"/>
    <mergeCell ref="H87:T87"/>
    <mergeCell ref="U87:AE87"/>
    <mergeCell ref="AF87:AP87"/>
    <mergeCell ref="AQ87:BA87"/>
    <mergeCell ref="H88:T88"/>
    <mergeCell ref="U88:AE88"/>
    <mergeCell ref="AF88:AP88"/>
    <mergeCell ref="AQ88:BA88"/>
    <mergeCell ref="H84:P84"/>
    <mergeCell ref="Q84:Y84"/>
    <mergeCell ref="Z84:AH84"/>
    <mergeCell ref="AI84:AQ84"/>
    <mergeCell ref="AR84:AZ84"/>
    <mergeCell ref="BA84:BI84"/>
    <mergeCell ref="H83:P83"/>
    <mergeCell ref="Q83:Y83"/>
    <mergeCell ref="Z83:AH83"/>
    <mergeCell ref="AI83:AQ83"/>
    <mergeCell ref="AR83:AZ83"/>
    <mergeCell ref="BA83:BI83"/>
    <mergeCell ref="H82:P82"/>
    <mergeCell ref="Q82:Y82"/>
    <mergeCell ref="Z82:AH82"/>
    <mergeCell ref="AI82:AQ82"/>
    <mergeCell ref="AR82:AZ82"/>
    <mergeCell ref="BA82:BI82"/>
    <mergeCell ref="H81:P81"/>
    <mergeCell ref="Q81:Y81"/>
    <mergeCell ref="Z81:AH81"/>
    <mergeCell ref="AI81:AQ81"/>
    <mergeCell ref="AR81:AZ81"/>
    <mergeCell ref="BA81:BI81"/>
    <mergeCell ref="BA79:BI79"/>
    <mergeCell ref="H80:P80"/>
    <mergeCell ref="Q80:Y80"/>
    <mergeCell ref="Z80:AH80"/>
    <mergeCell ref="AI80:AQ80"/>
    <mergeCell ref="AR80:AZ80"/>
    <mergeCell ref="BA80:BI80"/>
    <mergeCell ref="G75:AK75"/>
    <mergeCell ref="H77:AH77"/>
    <mergeCell ref="AI77:BI77"/>
    <mergeCell ref="H78:AH78"/>
    <mergeCell ref="AI78:BI78"/>
    <mergeCell ref="H79:P79"/>
    <mergeCell ref="Q79:Y79"/>
    <mergeCell ref="Z79:AH79"/>
    <mergeCell ref="AI79:AQ79"/>
    <mergeCell ref="AR79:AZ79"/>
    <mergeCell ref="H73:T73"/>
    <mergeCell ref="U73:AB73"/>
    <mergeCell ref="AC73:AJ73"/>
    <mergeCell ref="AK73:AR73"/>
    <mergeCell ref="AS73:AZ73"/>
    <mergeCell ref="BA73:BH73"/>
    <mergeCell ref="H72:T72"/>
    <mergeCell ref="U72:AB72"/>
    <mergeCell ref="AC72:AJ72"/>
    <mergeCell ref="AK72:AR72"/>
    <mergeCell ref="AS72:AZ72"/>
    <mergeCell ref="BA72:BH72"/>
    <mergeCell ref="H71:T71"/>
    <mergeCell ref="U71:AB71"/>
    <mergeCell ref="AC71:AJ71"/>
    <mergeCell ref="AK71:AR71"/>
    <mergeCell ref="AS71:AZ71"/>
    <mergeCell ref="BA71:BH71"/>
    <mergeCell ref="H70:T70"/>
    <mergeCell ref="U70:AB70"/>
    <mergeCell ref="AC70:AJ70"/>
    <mergeCell ref="AK70:AR70"/>
    <mergeCell ref="AS70:AZ70"/>
    <mergeCell ref="BA70:BH70"/>
    <mergeCell ref="H69:T69"/>
    <mergeCell ref="U69:AB69"/>
    <mergeCell ref="AC69:AJ69"/>
    <mergeCell ref="AK69:AR69"/>
    <mergeCell ref="AS69:AZ69"/>
    <mergeCell ref="BA69:BH69"/>
    <mergeCell ref="H68:T68"/>
    <mergeCell ref="U68:AB68"/>
    <mergeCell ref="AC68:AJ68"/>
    <mergeCell ref="AK68:AR68"/>
    <mergeCell ref="AS68:AZ68"/>
    <mergeCell ref="BA68:BH68"/>
    <mergeCell ref="H67:T67"/>
    <mergeCell ref="U67:AB67"/>
    <mergeCell ref="AC67:AJ67"/>
    <mergeCell ref="AK67:AR67"/>
    <mergeCell ref="AS67:AZ67"/>
    <mergeCell ref="BA67:BH67"/>
    <mergeCell ref="H66:T66"/>
    <mergeCell ref="U66:AB66"/>
    <mergeCell ref="AC66:AJ66"/>
    <mergeCell ref="AK66:AR66"/>
    <mergeCell ref="AS66:AZ66"/>
    <mergeCell ref="BA66:BH66"/>
    <mergeCell ref="H65:T65"/>
    <mergeCell ref="U65:AB65"/>
    <mergeCell ref="AC65:AJ65"/>
    <mergeCell ref="AK65:AR65"/>
    <mergeCell ref="AS65:AZ65"/>
    <mergeCell ref="BA65:BH65"/>
    <mergeCell ref="H62:BH62"/>
    <mergeCell ref="H63:BH63"/>
    <mergeCell ref="H64:T64"/>
    <mergeCell ref="U64:AB64"/>
    <mergeCell ref="AC64:AJ64"/>
    <mergeCell ref="AK64:AR64"/>
    <mergeCell ref="AS64:AZ64"/>
    <mergeCell ref="BA64:BH64"/>
    <mergeCell ref="H60:T60"/>
    <mergeCell ref="U60:AB60"/>
    <mergeCell ref="AC60:AJ60"/>
    <mergeCell ref="AK60:AR60"/>
    <mergeCell ref="AS60:AZ60"/>
    <mergeCell ref="BA60:BH60"/>
    <mergeCell ref="H59:T59"/>
    <mergeCell ref="U59:AB59"/>
    <mergeCell ref="AC59:AJ59"/>
    <mergeCell ref="AK59:AR59"/>
    <mergeCell ref="AS59:AZ59"/>
    <mergeCell ref="BA59:BH59"/>
    <mergeCell ref="H58:T58"/>
    <mergeCell ref="U58:AB58"/>
    <mergeCell ref="AC58:AJ58"/>
    <mergeCell ref="AK58:AR58"/>
    <mergeCell ref="AS58:AZ58"/>
    <mergeCell ref="BA58:BH58"/>
    <mergeCell ref="H57:T57"/>
    <mergeCell ref="U57:AB57"/>
    <mergeCell ref="AC57:AJ57"/>
    <mergeCell ref="AK57:AR57"/>
    <mergeCell ref="AS57:AZ57"/>
    <mergeCell ref="BA57:BH57"/>
    <mergeCell ref="H56:T56"/>
    <mergeCell ref="U56:AB56"/>
    <mergeCell ref="AC56:AJ56"/>
    <mergeCell ref="AK56:AR56"/>
    <mergeCell ref="AS56:AZ56"/>
    <mergeCell ref="BA56:BH56"/>
    <mergeCell ref="H55:T55"/>
    <mergeCell ref="U55:AB55"/>
    <mergeCell ref="AC55:AJ55"/>
    <mergeCell ref="AK55:AR55"/>
    <mergeCell ref="AS55:AZ55"/>
    <mergeCell ref="BA55:BH55"/>
    <mergeCell ref="H54:T54"/>
    <mergeCell ref="U54:AB54"/>
    <mergeCell ref="AC54:AJ54"/>
    <mergeCell ref="AK54:AR54"/>
    <mergeCell ref="AS54:AZ54"/>
    <mergeCell ref="BA54:BH54"/>
    <mergeCell ref="H53:T53"/>
    <mergeCell ref="U53:AB53"/>
    <mergeCell ref="AC53:AJ53"/>
    <mergeCell ref="AK53:AR53"/>
    <mergeCell ref="AS53:AZ53"/>
    <mergeCell ref="BA53:BH53"/>
    <mergeCell ref="H52:T52"/>
    <mergeCell ref="U52:AB52"/>
    <mergeCell ref="AC52:AJ52"/>
    <mergeCell ref="AK52:AR52"/>
    <mergeCell ref="AS52:AZ52"/>
    <mergeCell ref="BA52:BH52"/>
    <mergeCell ref="H51:T51"/>
    <mergeCell ref="U51:AB51"/>
    <mergeCell ref="AC51:AJ51"/>
    <mergeCell ref="AK51:AR51"/>
    <mergeCell ref="AS51:AZ51"/>
    <mergeCell ref="BA51:BH51"/>
    <mergeCell ref="H45:P45"/>
    <mergeCell ref="Q45:AH45"/>
    <mergeCell ref="AI45:AQ45"/>
    <mergeCell ref="AR45:BI45"/>
    <mergeCell ref="H49:BH49"/>
    <mergeCell ref="H50:BH50"/>
    <mergeCell ref="H43:P43"/>
    <mergeCell ref="Q43:AH43"/>
    <mergeCell ref="AI43:AQ43"/>
    <mergeCell ref="AR43:BI43"/>
    <mergeCell ref="H44:P44"/>
    <mergeCell ref="Q44:AH44"/>
    <mergeCell ref="AI44:AQ44"/>
    <mergeCell ref="AR44:BI44"/>
    <mergeCell ref="H42:P42"/>
    <mergeCell ref="Q42:AH42"/>
    <mergeCell ref="AI42:AQ42"/>
    <mergeCell ref="AR42:BI42"/>
    <mergeCell ref="H39:P39"/>
    <mergeCell ref="Q39:AH39"/>
    <mergeCell ref="AI39:AQ39"/>
    <mergeCell ref="AR39:BI39"/>
    <mergeCell ref="H40:P40"/>
    <mergeCell ref="Q40:AH40"/>
    <mergeCell ref="AI40:AQ40"/>
    <mergeCell ref="AR40:BI40"/>
    <mergeCell ref="H37:P37"/>
    <mergeCell ref="Q37:AH37"/>
    <mergeCell ref="AI37:AQ37"/>
    <mergeCell ref="AR37:BI37"/>
    <mergeCell ref="H38:P38"/>
    <mergeCell ref="Q38:AH38"/>
    <mergeCell ref="AI38:AQ38"/>
    <mergeCell ref="AR38:BI38"/>
    <mergeCell ref="H41:P41"/>
    <mergeCell ref="Q41:AH41"/>
    <mergeCell ref="AI41:AQ41"/>
    <mergeCell ref="AR41:BI41"/>
    <mergeCell ref="G32:AK32"/>
    <mergeCell ref="H33:AH33"/>
    <mergeCell ref="AI33:BI33"/>
    <mergeCell ref="H34:AH34"/>
    <mergeCell ref="AI34:BI34"/>
    <mergeCell ref="H35:P35"/>
    <mergeCell ref="Q35:AH36"/>
    <mergeCell ref="AI35:AQ35"/>
    <mergeCell ref="AR35:BI36"/>
    <mergeCell ref="H36:P36"/>
    <mergeCell ref="AI36:AQ36"/>
    <mergeCell ref="H29:P29"/>
    <mergeCell ref="Q29:AH29"/>
    <mergeCell ref="AI29:AQ29"/>
    <mergeCell ref="AR29:BI29"/>
    <mergeCell ref="H30:P30"/>
    <mergeCell ref="Q30:AH30"/>
    <mergeCell ref="AI30:AQ30"/>
    <mergeCell ref="AR30:BI30"/>
    <mergeCell ref="H27:P27"/>
    <mergeCell ref="Q27:AH27"/>
    <mergeCell ref="AI27:AQ27"/>
    <mergeCell ref="AR27:BI27"/>
    <mergeCell ref="H28:P28"/>
    <mergeCell ref="Q28:AH28"/>
    <mergeCell ref="AI28:AQ28"/>
    <mergeCell ref="AR28:BI28"/>
    <mergeCell ref="H25:P25"/>
    <mergeCell ref="Q25:AH25"/>
    <mergeCell ref="AI25:AQ25"/>
    <mergeCell ref="AR25:BI25"/>
    <mergeCell ref="H26:P26"/>
    <mergeCell ref="Q26:AH26"/>
    <mergeCell ref="AI26:AQ26"/>
    <mergeCell ref="AR26:BI26"/>
    <mergeCell ref="AI22:AQ22"/>
    <mergeCell ref="H23:P23"/>
    <mergeCell ref="Q23:AH23"/>
    <mergeCell ref="AI23:AQ23"/>
    <mergeCell ref="AR23:BI23"/>
    <mergeCell ref="H24:P24"/>
    <mergeCell ref="Q24:AH24"/>
    <mergeCell ref="AI24:AQ24"/>
    <mergeCell ref="AR24:BI24"/>
    <mergeCell ref="G17:AM17"/>
    <mergeCell ref="H19:AH19"/>
    <mergeCell ref="AI19:BI19"/>
    <mergeCell ref="H20:AH20"/>
    <mergeCell ref="AI20:BI20"/>
    <mergeCell ref="H21:P21"/>
    <mergeCell ref="Q21:AH22"/>
    <mergeCell ref="AI21:AQ21"/>
    <mergeCell ref="AR21:BI22"/>
    <mergeCell ref="H22:P22"/>
    <mergeCell ref="H11:P11"/>
    <mergeCell ref="Q11:AH11"/>
    <mergeCell ref="AI11:AQ11"/>
    <mergeCell ref="AR11:BI11"/>
    <mergeCell ref="H14:P14"/>
    <mergeCell ref="Q14:AH14"/>
    <mergeCell ref="AI14:AQ14"/>
    <mergeCell ref="AR14:BI14"/>
    <mergeCell ref="H15:P15"/>
    <mergeCell ref="Q15:AH15"/>
    <mergeCell ref="AI15:AQ15"/>
    <mergeCell ref="AR15:BI15"/>
    <mergeCell ref="H12:P12"/>
    <mergeCell ref="Q12:AH12"/>
    <mergeCell ref="AI12:AQ12"/>
    <mergeCell ref="AR12:BI12"/>
    <mergeCell ref="H13:P13"/>
    <mergeCell ref="Q13:AH13"/>
    <mergeCell ref="AI13:AQ13"/>
    <mergeCell ref="AR13:BI13"/>
    <mergeCell ref="H7:AH7"/>
    <mergeCell ref="AI7:BI7"/>
    <mergeCell ref="H8:P8"/>
    <mergeCell ref="Q8:AH9"/>
    <mergeCell ref="AI8:AQ8"/>
    <mergeCell ref="AR8:BI9"/>
    <mergeCell ref="H9:P9"/>
    <mergeCell ref="AI9:AQ9"/>
    <mergeCell ref="H10:P10"/>
    <mergeCell ref="Q10:AH10"/>
    <mergeCell ref="AI10:AQ10"/>
    <mergeCell ref="AR10:BI10"/>
    <mergeCell ref="C2:M2"/>
    <mergeCell ref="AK2:AX2"/>
    <mergeCell ref="AY2:BL2"/>
    <mergeCell ref="BM2:BN2"/>
    <mergeCell ref="AL3:AX3"/>
    <mergeCell ref="AY3:BL3"/>
    <mergeCell ref="BM3:BN3"/>
    <mergeCell ref="F4:AH4"/>
    <mergeCell ref="H6:AH6"/>
    <mergeCell ref="AI6:BI6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Ｈ27.10</vt:lpstr>
      <vt:lpstr>Ｈ27.10 (南知多・美浜)</vt:lpstr>
      <vt:lpstr>Ｈ27.10 (空港島）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marumitsu002</dc:creator>
  <cp:lastModifiedBy>KatsumiSuzuki</cp:lastModifiedBy>
  <cp:lastPrinted>2016-04-22T06:37:05Z</cp:lastPrinted>
  <dcterms:created xsi:type="dcterms:W3CDTF">2016-04-22T06:35:30Z</dcterms:created>
  <dcterms:modified xsi:type="dcterms:W3CDTF">2018-04-07T01:47:05Z</dcterms:modified>
</cp:coreProperties>
</file>